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3.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4.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66925"/>
  <mc:AlternateContent xmlns:mc="http://schemas.openxmlformats.org/markup-compatibility/2006">
    <mc:Choice Requires="x15">
      <x15ac:absPath xmlns:x15ac="http://schemas.microsoft.com/office/spreadsheetml/2010/11/ac" url="X:\Servicios Estadísticos\2024\SOLICITUDES DE INFORMACIÓN\SITIO WEB\"/>
    </mc:Choice>
  </mc:AlternateContent>
  <xr:revisionPtr revIDLastSave="0" documentId="13_ncr:1_{3D13A46E-7A2D-4E74-AD92-A1F4A2732FF1}" xr6:coauthVersionLast="47" xr6:coauthVersionMax="47" xr10:uidLastSave="{00000000-0000-0000-0000-000000000000}"/>
  <bookViews>
    <workbookView xWindow="-25320" yWindow="-120" windowWidth="25440" windowHeight="15390" tabRatio="922" xr2:uid="{00000000-000D-0000-FFFF-FFFF00000000}"/>
  </bookViews>
  <sheets>
    <sheet name="PRESENTACIÓN" sheetId="18" r:id="rId1"/>
    <sheet name="POBLACIÓN TOTAL" sheetId="1" r:id="rId2"/>
    <sheet name="POBLACIÓN INDÍGENA" sheetId="11" r:id="rId3"/>
    <sheet name="HOGARES" sheetId="2" r:id="rId4"/>
    <sheet name="TAMAÑO DE LOCALIDADES" sheetId="10" r:id="rId5"/>
    <sheet name="DISCAPACIDAD" sheetId="3" r:id="rId6"/>
    <sheet name="EDUCACIÓN" sheetId="4" r:id="rId7"/>
    <sheet name="OCUPACIÓN" sheetId="5" r:id="rId8"/>
    <sheet name="SALUD" sheetId="6" r:id="rId9"/>
    <sheet name="SERVICIOS VIVIENDAS" sheetId="7" r:id="rId10"/>
    <sheet name="CALIDAD VIVIENDAS" sheetId="17" r:id="rId11"/>
    <sheet name="ESPACIO VIVIENDAS" sheetId="8" r:id="rId12"/>
    <sheet name="BASE" sheetId="12" state="hidden" r:id="rId13"/>
  </sheets>
  <definedNames>
    <definedName name="_xlnm._FilterDatabase" localSheetId="12" hidden="1">BASE!$A$2:$CX$126</definedName>
    <definedName name="Print_Area" localSheetId="10">'CALIDAD VIVIENDAS'!$B$1:$L$26</definedName>
    <definedName name="Print_Area" localSheetId="5">DISCAPACIDAD!$B$1:$H$29</definedName>
    <definedName name="Print_Area" localSheetId="6">EDUCACIÓN!$B$1:$K$24</definedName>
    <definedName name="Print_Area" localSheetId="11">'ESPACIO VIVIENDAS'!$B$1:$K$30</definedName>
    <definedName name="Print_Area" localSheetId="3">HOGARES!$B$1:$I$25</definedName>
    <definedName name="Print_Area" localSheetId="7">OCUPACIÓN!$B$1:$L$24</definedName>
    <definedName name="Print_Area" localSheetId="2">'POBLACIÓN INDÍGENA'!$B$1:$L$23</definedName>
    <definedName name="Print_Area" localSheetId="1">'POBLACIÓN TOTAL'!$B$1:$M$30</definedName>
    <definedName name="Print_Area" localSheetId="0">PRESENTACIÓN!$A$1:$L$26</definedName>
    <definedName name="Print_Area" localSheetId="8">SALUD!$B$1:$K$28</definedName>
    <definedName name="Print_Area" localSheetId="9">'SERVICIOS VIVIENDAS'!$B$1:$K$24</definedName>
    <definedName name="Print_Area" localSheetId="4">'TAMAÑO DE LOCALIDADES'!$B$1:$H$29</definedName>
    <definedName name="Print_Titles" localSheetId="10">'CALIDAD VIVIENDAS'!$1:$7</definedName>
    <definedName name="Print_Titles" localSheetId="5">DISCAPACIDAD!$1:$7</definedName>
    <definedName name="Print_Titles" localSheetId="6">EDUCACIÓN!$1:$7</definedName>
    <definedName name="Print_Titles" localSheetId="11">'ESPACIO VIVIENDAS'!$1:$7</definedName>
    <definedName name="Print_Titles" localSheetId="3">HOGARES!$1:$7</definedName>
    <definedName name="Print_Titles" localSheetId="7">OCUPACIÓN!$1:$7</definedName>
    <definedName name="Print_Titles" localSheetId="2">'POBLACIÓN INDÍGENA'!$1:$7</definedName>
    <definedName name="Print_Titles" localSheetId="1">'POBLACIÓN TOTAL'!$1:$7</definedName>
    <definedName name="Print_Titles" localSheetId="8">SALUD!$1:$7</definedName>
    <definedName name="Print_Titles" localSheetId="9">'SERVICIOS VIVIENDAS'!$1:$7</definedName>
    <definedName name="Print_Titles" localSheetId="4">'TAMAÑO DE LOCALIDADES'!$1:$7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1" l="1"/>
  <c r="P11" i="1"/>
  <c r="C10" i="1"/>
  <c r="I6" i="5"/>
  <c r="Q21" i="5" l="1"/>
  <c r="K15" i="5"/>
  <c r="C20" i="5"/>
  <c r="K13" i="5"/>
  <c r="K12" i="5"/>
  <c r="C14" i="5"/>
  <c r="C11" i="5"/>
  <c r="C10" i="5"/>
  <c r="C24" i="5"/>
  <c r="K14" i="5"/>
  <c r="C19" i="5"/>
  <c r="C17" i="5"/>
  <c r="C16" i="5"/>
  <c r="C13" i="5"/>
  <c r="I24" i="5"/>
  <c r="E24" i="5"/>
  <c r="K11" i="5"/>
  <c r="K10" i="5"/>
  <c r="K9" i="5"/>
  <c r="G24" i="5"/>
  <c r="B24" i="5"/>
  <c r="N21" i="5"/>
  <c r="O21" i="5"/>
  <c r="P21" i="5"/>
  <c r="G6" i="2"/>
  <c r="G32" i="2" s="1"/>
  <c r="I17" i="2" l="1"/>
  <c r="I20" i="2"/>
  <c r="I22" i="2"/>
  <c r="I23" i="2"/>
  <c r="I18" i="2"/>
  <c r="C11" i="2"/>
  <c r="G11" i="2"/>
  <c r="C20" i="2"/>
  <c r="C21" i="2"/>
  <c r="G28" i="2"/>
  <c r="C10" i="2"/>
  <c r="I21" i="2"/>
  <c r="C22" i="2"/>
  <c r="G29" i="2"/>
  <c r="I19" i="2"/>
  <c r="G10" i="2"/>
  <c r="C23" i="2"/>
  <c r="G30" i="2"/>
  <c r="C24" i="2"/>
  <c r="G31" i="2"/>
  <c r="C25" i="2"/>
  <c r="BY127" i="12"/>
  <c r="BZ127" i="12"/>
  <c r="CA127" i="12"/>
  <c r="CB127" i="12"/>
  <c r="CC127" i="12"/>
  <c r="BL127" i="12"/>
  <c r="BM127" i="12"/>
  <c r="BN127" i="12"/>
  <c r="BO127" i="12"/>
  <c r="BP127" i="12"/>
  <c r="BQ127" i="12"/>
  <c r="BR127" i="12"/>
  <c r="BS127" i="12"/>
  <c r="BT127" i="12"/>
  <c r="BU127" i="12"/>
  <c r="BV127" i="12"/>
  <c r="BW127" i="12"/>
  <c r="BX127" i="12"/>
  <c r="AY127" i="12"/>
  <c r="AZ127" i="12"/>
  <c r="BA127" i="12"/>
  <c r="BB127" i="12"/>
  <c r="BC127" i="12"/>
  <c r="BD127" i="12"/>
  <c r="BE127" i="12"/>
  <c r="BF127" i="12"/>
  <c r="BG127" i="12"/>
  <c r="BH127" i="12"/>
  <c r="BI127" i="12"/>
  <c r="BJ127" i="12"/>
  <c r="BK127" i="12"/>
  <c r="AX127" i="12"/>
  <c r="H6" i="8"/>
  <c r="H6" i="17"/>
  <c r="H6" i="7"/>
  <c r="H6" i="6"/>
  <c r="G6" i="4"/>
  <c r="E6" i="10"/>
  <c r="I6" i="11"/>
  <c r="O11" i="11" s="1"/>
  <c r="Q22" i="1"/>
  <c r="Q21" i="1"/>
  <c r="Q20" i="1"/>
  <c r="Q19" i="1"/>
  <c r="Q18" i="1"/>
  <c r="Q17" i="1"/>
  <c r="Q16" i="1"/>
  <c r="Q14" i="1"/>
  <c r="Q13" i="1"/>
  <c r="Q12" i="1"/>
  <c r="Q11" i="1"/>
  <c r="Q10" i="1"/>
  <c r="Q9" i="1"/>
  <c r="P22" i="1"/>
  <c r="P21" i="1"/>
  <c r="P20" i="1"/>
  <c r="P19" i="1"/>
  <c r="P18" i="1"/>
  <c r="P17" i="1"/>
  <c r="P16" i="1"/>
  <c r="P15" i="1"/>
  <c r="P14" i="1"/>
  <c r="P13" i="1"/>
  <c r="P12" i="1"/>
  <c r="P10" i="1"/>
  <c r="P9" i="1"/>
  <c r="D30" i="1"/>
  <c r="D29" i="1"/>
  <c r="D28" i="1"/>
  <c r="D27" i="1"/>
  <c r="D26" i="1"/>
  <c r="F6" i="3"/>
  <c r="I13" i="4" l="1"/>
  <c r="H13" i="4"/>
  <c r="I11" i="4"/>
  <c r="I12" i="4"/>
  <c r="H11" i="4"/>
  <c r="H12" i="4"/>
  <c r="C29" i="8"/>
  <c r="F12" i="8"/>
  <c r="F17" i="8"/>
  <c r="F15" i="8"/>
  <c r="F13" i="8"/>
  <c r="C28" i="8"/>
  <c r="F11" i="8"/>
  <c r="C19" i="8"/>
  <c r="C17" i="8"/>
  <c r="F18" i="8"/>
  <c r="F16" i="8"/>
  <c r="F14" i="8"/>
  <c r="C27" i="8"/>
  <c r="C15" i="8"/>
  <c r="C12" i="8"/>
  <c r="C26" i="8"/>
  <c r="C18" i="8"/>
  <c r="C25" i="8"/>
  <c r="F19" i="8"/>
  <c r="C13" i="8"/>
  <c r="C11" i="8"/>
  <c r="C16" i="8"/>
  <c r="C14" i="8"/>
  <c r="C26" i="17"/>
  <c r="E12" i="17"/>
  <c r="C19" i="17"/>
  <c r="E14" i="17"/>
  <c r="C25" i="17"/>
  <c r="E11" i="17"/>
  <c r="C24" i="17"/>
  <c r="E10" i="17"/>
  <c r="C23" i="17"/>
  <c r="C22" i="17"/>
  <c r="C14" i="17"/>
  <c r="C21" i="17"/>
  <c r="C13" i="17"/>
  <c r="C12" i="17"/>
  <c r="C18" i="17"/>
  <c r="E13" i="17"/>
  <c r="C10" i="17"/>
  <c r="C20" i="17"/>
  <c r="C11" i="17"/>
  <c r="O10" i="7"/>
  <c r="E22" i="7"/>
  <c r="C18" i="7"/>
  <c r="E17" i="7"/>
  <c r="C23" i="7"/>
  <c r="C22" i="7"/>
  <c r="E24" i="7"/>
  <c r="J23" i="7"/>
  <c r="E21" i="7"/>
  <c r="C17" i="7"/>
  <c r="E20" i="7"/>
  <c r="E19" i="7"/>
  <c r="J13" i="7"/>
  <c r="J22" i="7"/>
  <c r="E18" i="7"/>
  <c r="C24" i="7"/>
  <c r="J12" i="7"/>
  <c r="C21" i="7"/>
  <c r="C19" i="7"/>
  <c r="J21" i="7"/>
  <c r="C20" i="7"/>
  <c r="J16" i="7"/>
  <c r="J11" i="7"/>
  <c r="E23" i="7"/>
  <c r="J15" i="7"/>
  <c r="J14" i="7"/>
  <c r="E16" i="7"/>
  <c r="C16" i="7"/>
  <c r="C17" i="6"/>
  <c r="K17" i="6"/>
  <c r="J23" i="6"/>
  <c r="J11" i="6"/>
  <c r="D25" i="6"/>
  <c r="J20" i="6"/>
  <c r="E27" i="6"/>
  <c r="K13" i="6"/>
  <c r="E26" i="6"/>
  <c r="J19" i="6"/>
  <c r="D26" i="6"/>
  <c r="C16" i="6"/>
  <c r="K16" i="6"/>
  <c r="J22" i="6"/>
  <c r="J10" i="6"/>
  <c r="D24" i="6"/>
  <c r="K14" i="6"/>
  <c r="D22" i="6"/>
  <c r="K25" i="6"/>
  <c r="C14" i="6"/>
  <c r="J12" i="6"/>
  <c r="K27" i="6"/>
  <c r="K15" i="6"/>
  <c r="J21" i="6"/>
  <c r="E28" i="6"/>
  <c r="D23" i="6"/>
  <c r="K26" i="6"/>
  <c r="J13" i="6"/>
  <c r="J25" i="6"/>
  <c r="K24" i="6"/>
  <c r="K12" i="6"/>
  <c r="J14" i="6"/>
  <c r="E25" i="6"/>
  <c r="C11" i="6"/>
  <c r="J27" i="6"/>
  <c r="J18" i="6"/>
  <c r="K18" i="6"/>
  <c r="K23" i="6"/>
  <c r="K11" i="6"/>
  <c r="J15" i="6"/>
  <c r="E24" i="6"/>
  <c r="C13" i="6"/>
  <c r="C10" i="6"/>
  <c r="E22" i="6"/>
  <c r="K20" i="6"/>
  <c r="D27" i="6"/>
  <c r="K22" i="6"/>
  <c r="K10" i="6"/>
  <c r="J16" i="6"/>
  <c r="E23" i="6"/>
  <c r="J17" i="6"/>
  <c r="J26" i="6"/>
  <c r="D28" i="6"/>
  <c r="J24" i="6"/>
  <c r="K21" i="6"/>
  <c r="K19" i="6"/>
  <c r="I24" i="4"/>
  <c r="H19" i="4"/>
  <c r="I21" i="4"/>
  <c r="I20" i="4"/>
  <c r="I19" i="4"/>
  <c r="I18" i="4"/>
  <c r="C15" i="4"/>
  <c r="C11" i="4"/>
  <c r="H21" i="4"/>
  <c r="I23" i="4"/>
  <c r="H18" i="4"/>
  <c r="I10" i="4"/>
  <c r="H10" i="4"/>
  <c r="C16" i="4"/>
  <c r="H24" i="4"/>
  <c r="H23" i="4"/>
  <c r="I22" i="4"/>
  <c r="H22" i="4"/>
  <c r="C10" i="4"/>
  <c r="H20" i="4"/>
  <c r="L15" i="3"/>
  <c r="G22" i="3"/>
  <c r="G29" i="3"/>
  <c r="L14" i="3"/>
  <c r="G20" i="3"/>
  <c r="G17" i="3"/>
  <c r="G16" i="3"/>
  <c r="G13" i="3"/>
  <c r="G11" i="3"/>
  <c r="G26" i="3"/>
  <c r="G23" i="3"/>
  <c r="L13" i="3"/>
  <c r="G19" i="3"/>
  <c r="L12" i="3"/>
  <c r="G10" i="3"/>
  <c r="L11" i="3"/>
  <c r="G14" i="3"/>
  <c r="G28" i="3"/>
  <c r="G25" i="3"/>
  <c r="L10" i="3"/>
  <c r="L9" i="3"/>
  <c r="E18" i="10"/>
  <c r="E17" i="10"/>
  <c r="E15" i="10"/>
  <c r="E14" i="10"/>
  <c r="E13" i="10"/>
  <c r="E12" i="10"/>
  <c r="E11" i="10"/>
  <c r="E10" i="10"/>
  <c r="E16" i="10"/>
  <c r="C15" i="10"/>
  <c r="C12" i="10"/>
  <c r="C11" i="10"/>
  <c r="C10" i="10"/>
  <c r="C18" i="10"/>
  <c r="C17" i="10"/>
  <c r="C16" i="10"/>
  <c r="C14" i="10"/>
  <c r="C13" i="10"/>
  <c r="S18" i="11"/>
  <c r="S21" i="11"/>
  <c r="S22" i="11"/>
  <c r="C9" i="11"/>
  <c r="R9" i="11"/>
  <c r="R10" i="11"/>
  <c r="R14" i="11"/>
  <c r="R15" i="11"/>
  <c r="R22" i="11"/>
  <c r="S16" i="11"/>
  <c r="S20" i="11"/>
  <c r="R16" i="11"/>
  <c r="O19" i="11"/>
  <c r="R18" i="11"/>
  <c r="O20" i="11"/>
  <c r="R21" i="11"/>
  <c r="K9" i="11"/>
  <c r="S9" i="11"/>
  <c r="K10" i="11"/>
  <c r="S12" i="11"/>
  <c r="H14" i="11"/>
  <c r="S13" i="11"/>
  <c r="O12" i="11"/>
  <c r="S14" i="11"/>
  <c r="R11" i="11"/>
  <c r="S10" i="11"/>
  <c r="O16" i="11"/>
  <c r="R12" i="11"/>
  <c r="S11" i="11"/>
  <c r="O17" i="11"/>
  <c r="H13" i="11"/>
  <c r="R17" i="11"/>
  <c r="S15" i="11"/>
  <c r="O9" i="11"/>
  <c r="R19" i="11"/>
  <c r="S17" i="11"/>
  <c r="O10" i="11"/>
  <c r="R20" i="11"/>
  <c r="R13" i="11"/>
  <c r="S19" i="11"/>
  <c r="I127" i="12"/>
  <c r="C18" i="1" s="1"/>
  <c r="J127" i="12"/>
  <c r="L9" i="1" s="1"/>
  <c r="K127" i="12"/>
  <c r="L10" i="1" s="1"/>
  <c r="H127" i="12"/>
  <c r="C17" i="1" s="1"/>
  <c r="D127" i="12"/>
  <c r="C11" i="1" s="1"/>
  <c r="E127" i="12"/>
  <c r="C9" i="1" s="1"/>
  <c r="C127" i="12"/>
  <c r="C12" i="1" s="1"/>
  <c r="C14" i="1" l="1"/>
  <c r="C13" i="1"/>
  <c r="D18" i="17"/>
  <c r="E19" i="10"/>
  <c r="F11" i="10"/>
  <c r="C19" i="10"/>
  <c r="F16" i="10"/>
  <c r="F10" i="10"/>
  <c r="D13" i="10"/>
  <c r="F12" i="10"/>
  <c r="F13" i="10"/>
  <c r="F14" i="10"/>
  <c r="F15" i="10"/>
  <c r="D18" i="10"/>
  <c r="F17" i="10"/>
  <c r="F18" i="10"/>
  <c r="D14" i="10"/>
  <c r="D16" i="10"/>
  <c r="D17" i="10"/>
  <c r="D10" i="10"/>
  <c r="D11" i="10"/>
  <c r="D12" i="10"/>
  <c r="D15" i="10"/>
  <c r="F127" i="12"/>
  <c r="G127" i="12"/>
  <c r="D19" i="10" l="1"/>
  <c r="F19" i="10"/>
  <c r="C9" i="3"/>
  <c r="F16" i="7"/>
  <c r="C24" i="4"/>
  <c r="C22" i="4"/>
  <c r="C23" i="4"/>
  <c r="G23" i="4" l="1"/>
  <c r="J20" i="7"/>
  <c r="K20" i="7" s="1"/>
  <c r="D16" i="7"/>
  <c r="J10" i="7"/>
  <c r="G19" i="4"/>
  <c r="G22" i="4"/>
  <c r="G18" i="4"/>
  <c r="G12" i="4"/>
  <c r="G11" i="4"/>
  <c r="G24" i="4"/>
  <c r="G13" i="4"/>
  <c r="G20" i="4"/>
  <c r="G21" i="4"/>
  <c r="G10" i="4"/>
  <c r="C14" i="4"/>
  <c r="D14" i="4" s="1"/>
  <c r="C9" i="4"/>
  <c r="K23" i="7" l="1"/>
  <c r="D11" i="4"/>
  <c r="D10" i="4"/>
  <c r="D15" i="4"/>
  <c r="D16" i="4"/>
  <c r="F10" i="8" l="1"/>
  <c r="G19" i="8" s="1"/>
  <c r="C24" i="8"/>
  <c r="D25" i="8" s="1"/>
  <c r="C10" i="8"/>
  <c r="D16" i="8" s="1"/>
  <c r="D29" i="8" l="1"/>
  <c r="D28" i="8"/>
  <c r="D26" i="8"/>
  <c r="D19" i="8"/>
  <c r="D18" i="8"/>
  <c r="D15" i="8"/>
  <c r="D13" i="8"/>
  <c r="G18" i="8"/>
  <c r="G14" i="8"/>
  <c r="G13" i="8"/>
  <c r="D12" i="8"/>
  <c r="G12" i="8"/>
  <c r="D17" i="8"/>
  <c r="G11" i="8"/>
  <c r="G10" i="8"/>
  <c r="D10" i="8"/>
  <c r="D11" i="8"/>
  <c r="D14" i="8"/>
  <c r="G17" i="8"/>
  <c r="G16" i="8"/>
  <c r="G15" i="8"/>
  <c r="D27" i="8"/>
  <c r="D24" i="8"/>
  <c r="I25" i="17" l="1"/>
  <c r="I23" i="17"/>
  <c r="K19" i="17"/>
  <c r="K23" i="17"/>
  <c r="I24" i="17"/>
  <c r="K26" i="17"/>
  <c r="K25" i="17"/>
  <c r="K24" i="17"/>
  <c r="I26" i="17"/>
  <c r="K18" i="17"/>
  <c r="I19" i="17"/>
  <c r="I18" i="17"/>
  <c r="D12" i="17" l="1"/>
  <c r="J18" i="17"/>
  <c r="J19" i="17"/>
  <c r="D13" i="17" l="1"/>
  <c r="J23" i="17"/>
  <c r="D14" i="17"/>
  <c r="D22" i="17"/>
  <c r="D26" i="17"/>
  <c r="J26" i="17"/>
  <c r="D10" i="17"/>
  <c r="D24" i="17"/>
  <c r="J24" i="17"/>
  <c r="D25" i="17"/>
  <c r="J25" i="17"/>
  <c r="D21" i="17"/>
  <c r="D23" i="17"/>
  <c r="D11" i="17"/>
  <c r="D19" i="17"/>
  <c r="D20" i="17"/>
  <c r="O11" i="7"/>
  <c r="F11" i="17"/>
  <c r="F12" i="17"/>
  <c r="F13" i="17"/>
  <c r="F10" i="17"/>
  <c r="L18" i="17"/>
  <c r="L26" i="17"/>
  <c r="O12" i="7"/>
  <c r="L25" i="17"/>
  <c r="L24" i="17"/>
  <c r="F23" i="7"/>
  <c r="L19" i="17"/>
  <c r="L23" i="17"/>
  <c r="F14" i="17"/>
  <c r="D24" i="7"/>
  <c r="I18" i="6" l="1"/>
  <c r="K21" i="7"/>
  <c r="C9" i="6"/>
  <c r="D10" i="6" s="1"/>
  <c r="P12" i="7"/>
  <c r="K22" i="7"/>
  <c r="P10" i="7"/>
  <c r="P11" i="7"/>
  <c r="F24" i="7"/>
  <c r="F21" i="7"/>
  <c r="F17" i="7"/>
  <c r="F18" i="7"/>
  <c r="F22" i="7"/>
  <c r="F20" i="7"/>
  <c r="F19" i="7"/>
  <c r="I13" i="6"/>
  <c r="I21" i="6"/>
  <c r="K13" i="7"/>
  <c r="K10" i="7"/>
  <c r="K16" i="7"/>
  <c r="K15" i="7"/>
  <c r="K11" i="7"/>
  <c r="K12" i="7"/>
  <c r="K14" i="7"/>
  <c r="C12" i="6"/>
  <c r="D14" i="6" s="1"/>
  <c r="D23" i="7"/>
  <c r="D21" i="7"/>
  <c r="I10" i="6"/>
  <c r="D20" i="7"/>
  <c r="C15" i="6"/>
  <c r="D17" i="6" s="1"/>
  <c r="I22" i="6"/>
  <c r="D19" i="7"/>
  <c r="D18" i="7"/>
  <c r="C28" i="6"/>
  <c r="D17" i="7"/>
  <c r="D22" i="7"/>
  <c r="C27" i="6"/>
  <c r="I17" i="6"/>
  <c r="I11" i="6"/>
  <c r="I23" i="6"/>
  <c r="I25" i="6"/>
  <c r="I14" i="6"/>
  <c r="I26" i="6"/>
  <c r="I19" i="6"/>
  <c r="I15" i="6"/>
  <c r="I16" i="6"/>
  <c r="I27" i="6"/>
  <c r="I20" i="6"/>
  <c r="I12" i="6"/>
  <c r="C26" i="6"/>
  <c r="I24" i="6"/>
  <c r="E21" i="6"/>
  <c r="C25" i="6"/>
  <c r="D21" i="6"/>
  <c r="C22" i="6"/>
  <c r="C23" i="6"/>
  <c r="C24" i="6"/>
  <c r="D11" i="6" l="1"/>
  <c r="D16" i="6"/>
  <c r="D13" i="6"/>
  <c r="D15" i="6"/>
  <c r="D9" i="6"/>
  <c r="C21" i="6"/>
  <c r="D12" i="6"/>
  <c r="H10" i="5"/>
  <c r="C9" i="5"/>
  <c r="D11" i="5" s="1"/>
  <c r="G10" i="5"/>
  <c r="C12" i="5"/>
  <c r="C15" i="5"/>
  <c r="C18" i="5"/>
  <c r="D20" i="5" s="1"/>
  <c r="C12" i="3"/>
  <c r="C11" i="3" l="1"/>
  <c r="D10" i="5"/>
  <c r="L10" i="5"/>
  <c r="L11" i="5"/>
  <c r="L9" i="5"/>
  <c r="L12" i="5"/>
  <c r="L15" i="5"/>
  <c r="L13" i="5"/>
  <c r="D15" i="5"/>
  <c r="L14" i="5"/>
  <c r="D19" i="5"/>
  <c r="D12" i="5"/>
  <c r="F10" i="5"/>
  <c r="D13" i="5"/>
  <c r="D14" i="5"/>
  <c r="D16" i="5"/>
  <c r="D17" i="5"/>
  <c r="G12" i="3"/>
  <c r="H14" i="3" s="1"/>
  <c r="G15" i="3"/>
  <c r="H16" i="3" s="1"/>
  <c r="G21" i="3"/>
  <c r="H22" i="3" s="1"/>
  <c r="G27" i="3"/>
  <c r="H28" i="3" s="1"/>
  <c r="G18" i="3"/>
  <c r="H20" i="3" s="1"/>
  <c r="G24" i="3"/>
  <c r="L16" i="3"/>
  <c r="M13" i="3" s="1"/>
  <c r="G9" i="3"/>
  <c r="H10" i="3" s="1"/>
  <c r="H26" i="3" l="1"/>
  <c r="H25" i="3"/>
  <c r="H17" i="3"/>
  <c r="H13" i="3"/>
  <c r="C10" i="3"/>
  <c r="H23" i="3"/>
  <c r="H29" i="3"/>
  <c r="H19" i="3"/>
  <c r="M11" i="3"/>
  <c r="M14" i="3"/>
  <c r="M12" i="3"/>
  <c r="M15" i="3"/>
  <c r="M10" i="3"/>
  <c r="M9" i="3"/>
  <c r="H11" i="3"/>
  <c r="M10" i="1"/>
  <c r="M9" i="1"/>
  <c r="D18" i="1"/>
  <c r="D17" i="1"/>
  <c r="E30" i="1"/>
  <c r="E29" i="1"/>
  <c r="E28" i="1"/>
  <c r="E27" i="1"/>
  <c r="E26" i="1"/>
  <c r="D12" i="3" l="1"/>
  <c r="D10" i="3"/>
  <c r="H21" i="3"/>
  <c r="H12" i="3"/>
  <c r="D11" i="3"/>
  <c r="H9" i="3"/>
  <c r="H15" i="3"/>
  <c r="H18" i="3"/>
  <c r="H24" i="3"/>
  <c r="H27" i="3"/>
  <c r="G27" i="2"/>
  <c r="H32" i="2" s="1"/>
  <c r="G9" i="2"/>
  <c r="H10" i="2" s="1"/>
  <c r="C9" i="2"/>
  <c r="D10" i="2" s="1"/>
  <c r="H30" i="2" l="1"/>
  <c r="H29" i="2"/>
  <c r="H28" i="2"/>
  <c r="H31" i="2"/>
  <c r="H11" i="2"/>
  <c r="D11" i="2"/>
  <c r="I14" i="11" l="1"/>
  <c r="I13" i="11"/>
  <c r="O15" i="11"/>
  <c r="P15" i="11" s="1"/>
  <c r="O18" i="11"/>
  <c r="P18" i="11" s="1"/>
  <c r="L9" i="11"/>
  <c r="L10" i="11"/>
  <c r="P17" i="11" l="1"/>
  <c r="P20" i="11"/>
  <c r="P19" i="11"/>
  <c r="P16" i="11"/>
  <c r="F4" i="12" l="1"/>
  <c r="G4" i="12"/>
  <c r="F5" i="12"/>
  <c r="G5" i="12"/>
  <c r="F6" i="12"/>
  <c r="G6" i="12"/>
  <c r="F7" i="12"/>
  <c r="G7" i="12"/>
  <c r="F8" i="12"/>
  <c r="G8" i="12"/>
  <c r="F9" i="12"/>
  <c r="G9" i="12"/>
  <c r="F10" i="12"/>
  <c r="G10" i="12"/>
  <c r="F11" i="12"/>
  <c r="G11" i="12"/>
  <c r="F12" i="12"/>
  <c r="G12" i="12"/>
  <c r="F13" i="12"/>
  <c r="G13" i="12"/>
  <c r="F14" i="12"/>
  <c r="G14" i="12"/>
  <c r="F15" i="12"/>
  <c r="G15" i="12"/>
  <c r="F16" i="12"/>
  <c r="G16" i="12"/>
  <c r="F17" i="12"/>
  <c r="G17" i="12"/>
  <c r="F18" i="12"/>
  <c r="G18" i="12"/>
  <c r="F20" i="12"/>
  <c r="G20" i="12"/>
  <c r="F21" i="12"/>
  <c r="G21" i="12"/>
  <c r="F22" i="12"/>
  <c r="G22" i="12"/>
  <c r="F23" i="12"/>
  <c r="G23" i="12"/>
  <c r="F24" i="12"/>
  <c r="G24" i="12"/>
  <c r="F25" i="12"/>
  <c r="G25" i="12"/>
  <c r="F26" i="12"/>
  <c r="G26" i="12"/>
  <c r="F27" i="12"/>
  <c r="G27" i="12"/>
  <c r="F28" i="12"/>
  <c r="G28" i="12"/>
  <c r="F29" i="12"/>
  <c r="G29" i="12"/>
  <c r="F30" i="12"/>
  <c r="G30" i="12"/>
  <c r="F31" i="12"/>
  <c r="G31" i="12"/>
  <c r="F32" i="12"/>
  <c r="G32" i="12"/>
  <c r="F33" i="12"/>
  <c r="G33" i="12"/>
  <c r="F34" i="12"/>
  <c r="G34" i="12"/>
  <c r="F35" i="12"/>
  <c r="G35" i="12"/>
  <c r="F36" i="12"/>
  <c r="G36" i="12"/>
  <c r="F37" i="12"/>
  <c r="G37" i="12"/>
  <c r="F38" i="12"/>
  <c r="G38" i="12"/>
  <c r="F39" i="12"/>
  <c r="G39" i="12"/>
  <c r="F40" i="12"/>
  <c r="G40" i="12"/>
  <c r="F41" i="12"/>
  <c r="G41" i="12"/>
  <c r="F42" i="12"/>
  <c r="G42" i="12"/>
  <c r="F43" i="12"/>
  <c r="G43" i="12"/>
  <c r="F44" i="12"/>
  <c r="G44" i="12"/>
  <c r="F45" i="12"/>
  <c r="G45" i="12"/>
  <c r="F46" i="12"/>
  <c r="G46" i="12"/>
  <c r="F47" i="12"/>
  <c r="G47" i="12"/>
  <c r="F48" i="12"/>
  <c r="G48" i="12"/>
  <c r="F49" i="12"/>
  <c r="G49" i="12"/>
  <c r="F50" i="12"/>
  <c r="G50" i="12"/>
  <c r="F51" i="12"/>
  <c r="G51" i="12"/>
  <c r="F52" i="12"/>
  <c r="G52" i="12"/>
  <c r="F53" i="12"/>
  <c r="G53" i="12"/>
  <c r="F54" i="12"/>
  <c r="G54" i="12"/>
  <c r="F55" i="12"/>
  <c r="G55" i="12"/>
  <c r="F56" i="12"/>
  <c r="G56" i="12"/>
  <c r="F57" i="12"/>
  <c r="G57" i="12"/>
  <c r="F58" i="12"/>
  <c r="G58" i="12"/>
  <c r="F59" i="12"/>
  <c r="G59" i="12"/>
  <c r="F60" i="12"/>
  <c r="G60" i="12"/>
  <c r="F61" i="12"/>
  <c r="G61" i="12"/>
  <c r="F62" i="12"/>
  <c r="G62" i="12"/>
  <c r="F63" i="12"/>
  <c r="G63" i="12"/>
  <c r="F64" i="12"/>
  <c r="G64" i="12"/>
  <c r="F65" i="12"/>
  <c r="G65" i="12"/>
  <c r="F66" i="12"/>
  <c r="G66" i="12"/>
  <c r="F67" i="12"/>
  <c r="G67" i="12"/>
  <c r="F68" i="12"/>
  <c r="G68" i="12"/>
  <c r="F69" i="12"/>
  <c r="G69" i="12"/>
  <c r="F70" i="12"/>
  <c r="G70" i="12"/>
  <c r="F71" i="12"/>
  <c r="G71" i="12"/>
  <c r="F72" i="12"/>
  <c r="G72" i="12"/>
  <c r="F73" i="12"/>
  <c r="G73" i="12"/>
  <c r="F74" i="12"/>
  <c r="G74" i="12"/>
  <c r="F75" i="12"/>
  <c r="G75" i="12"/>
  <c r="F76" i="12"/>
  <c r="G76" i="12"/>
  <c r="F77" i="12"/>
  <c r="G77" i="12"/>
  <c r="F78" i="12"/>
  <c r="G78" i="12"/>
  <c r="F79" i="12"/>
  <c r="G79" i="12"/>
  <c r="F80" i="12"/>
  <c r="G80" i="12"/>
  <c r="F81" i="12"/>
  <c r="G81" i="12"/>
  <c r="F82" i="12"/>
  <c r="G82" i="12"/>
  <c r="F83" i="12"/>
  <c r="G83" i="12"/>
  <c r="F84" i="12"/>
  <c r="G84" i="12"/>
  <c r="F85" i="12"/>
  <c r="G85" i="12"/>
  <c r="F86" i="12"/>
  <c r="G86" i="12"/>
  <c r="F87" i="12"/>
  <c r="G87" i="12"/>
  <c r="F88" i="12"/>
  <c r="G88" i="12"/>
  <c r="F89" i="12"/>
  <c r="G89" i="12"/>
  <c r="F90" i="12"/>
  <c r="G90" i="12"/>
  <c r="F91" i="12"/>
  <c r="G91" i="12"/>
  <c r="F92" i="12"/>
  <c r="G92" i="12"/>
  <c r="F93" i="12"/>
  <c r="G93" i="12"/>
  <c r="F94" i="12"/>
  <c r="G94" i="12"/>
  <c r="F95" i="12"/>
  <c r="G95" i="12"/>
  <c r="F96" i="12"/>
  <c r="G96" i="12"/>
  <c r="F97" i="12"/>
  <c r="G97" i="12"/>
  <c r="F98" i="12"/>
  <c r="G98" i="12"/>
  <c r="F99" i="12"/>
  <c r="G99" i="12"/>
  <c r="F100" i="12"/>
  <c r="G100" i="12"/>
  <c r="F101" i="12"/>
  <c r="G101" i="12"/>
  <c r="F102" i="12"/>
  <c r="G102" i="12"/>
  <c r="F103" i="12"/>
  <c r="G103" i="12"/>
  <c r="F104" i="12"/>
  <c r="G104" i="12"/>
  <c r="F105" i="12"/>
  <c r="G105" i="12"/>
  <c r="F106" i="12"/>
  <c r="G106" i="12"/>
  <c r="F107" i="12"/>
  <c r="G107" i="12"/>
  <c r="F108" i="12"/>
  <c r="G108" i="12"/>
  <c r="F109" i="12"/>
  <c r="G109" i="12"/>
  <c r="F110" i="12"/>
  <c r="G110" i="12"/>
  <c r="F111" i="12"/>
  <c r="G111" i="12"/>
  <c r="F112" i="12"/>
  <c r="G112" i="12"/>
  <c r="F113" i="12"/>
  <c r="G113" i="12"/>
  <c r="F114" i="12"/>
  <c r="G114" i="12"/>
  <c r="F115" i="12"/>
  <c r="G115" i="12"/>
  <c r="F116" i="12"/>
  <c r="G116" i="12"/>
  <c r="F117" i="12"/>
  <c r="G117" i="12"/>
  <c r="F118" i="12"/>
  <c r="G118" i="12"/>
  <c r="F119" i="12"/>
  <c r="G119" i="12"/>
  <c r="F120" i="12"/>
  <c r="G120" i="12"/>
  <c r="F121" i="12"/>
  <c r="G121" i="12"/>
  <c r="F122" i="12"/>
  <c r="G122" i="12"/>
  <c r="F123" i="12"/>
  <c r="G123" i="12"/>
  <c r="F124" i="12"/>
  <c r="G124" i="12"/>
  <c r="F125" i="12"/>
  <c r="G125" i="12"/>
  <c r="F126" i="12"/>
  <c r="G126" i="12"/>
  <c r="G3" i="12"/>
  <c r="F3" i="12"/>
  <c r="D19" i="1" l="1"/>
</calcChain>
</file>

<file path=xl/sharedStrings.xml><?xml version="1.0" encoding="utf-8"?>
<sst xmlns="http://schemas.openxmlformats.org/spreadsheetml/2006/main" count="1968" uniqueCount="1065">
  <si>
    <t>habitantes</t>
  </si>
  <si>
    <t>POBLACIÓN POR TAMAÑO DE LA LOCALIDAD</t>
  </si>
  <si>
    <t>POBLACIÓN TOTAL</t>
  </si>
  <si>
    <t>CHIAPAS. CARACTERÍSTICAS DEMOGRÁFICAS 2020</t>
  </si>
  <si>
    <t>POBLACIÓN DE 3 AÑOS Y MÁS  QUE HABLA ALGUNA LENGUA INDÍGENA</t>
  </si>
  <si>
    <t>TOTAL</t>
  </si>
  <si>
    <t>HOGARES</t>
  </si>
  <si>
    <t>DISCAPACIDAD</t>
  </si>
  <si>
    <t>EDUCACIÓN</t>
  </si>
  <si>
    <t>MUNICIPIO:</t>
  </si>
  <si>
    <t>No especificado</t>
  </si>
  <si>
    <t>Total</t>
  </si>
  <si>
    <t>Hombres</t>
  </si>
  <si>
    <t>Mujeres</t>
  </si>
  <si>
    <t>Más de 1 a 2 s.m.</t>
  </si>
  <si>
    <t>Más de 2 s.m.</t>
  </si>
  <si>
    <t>PORCENTAJE DE PÓBLACIÓN OCUPADA POR INGRESO POR TRABAJO (SALE DE TABULAOS DEL CUESTIONARIO AMPLIADO</t>
  </si>
  <si>
    <t>IMSS</t>
  </si>
  <si>
    <t>ISSSTE</t>
  </si>
  <si>
    <t>00-04 años</t>
  </si>
  <si>
    <t>05-09 años</t>
  </si>
  <si>
    <t>10-14 años</t>
  </si>
  <si>
    <t>15-19 años</t>
  </si>
  <si>
    <t>20-24 años</t>
  </si>
  <si>
    <t>25-29 años</t>
  </si>
  <si>
    <t>30-34 años</t>
  </si>
  <si>
    <t>35-39 años</t>
  </si>
  <si>
    <t>40-44 años</t>
  </si>
  <si>
    <t>45-49 años</t>
  </si>
  <si>
    <t>50-54 años</t>
  </si>
  <si>
    <t>55-59 años</t>
  </si>
  <si>
    <t>60-64 años</t>
  </si>
  <si>
    <t>65-69 años</t>
  </si>
  <si>
    <t>70-74 años</t>
  </si>
  <si>
    <t>75-79 años</t>
  </si>
  <si>
    <t>80-84 años</t>
  </si>
  <si>
    <t>SALUD</t>
  </si>
  <si>
    <t>CVE_MUN</t>
  </si>
  <si>
    <t>NOM_MUN</t>
  </si>
  <si>
    <t>001</t>
  </si>
  <si>
    <t>Acacoyagua</t>
  </si>
  <si>
    <t>002</t>
  </si>
  <si>
    <t>Acala</t>
  </si>
  <si>
    <t>003</t>
  </si>
  <si>
    <t>Acapetahua</t>
  </si>
  <si>
    <t>004</t>
  </si>
  <si>
    <t>Altamirano</t>
  </si>
  <si>
    <t>005</t>
  </si>
  <si>
    <t>Amatán</t>
  </si>
  <si>
    <t>006</t>
  </si>
  <si>
    <t>Amatenango de la Frontera</t>
  </si>
  <si>
    <t>007</t>
  </si>
  <si>
    <t>Amatenango del Valle</t>
  </si>
  <si>
    <t>008</t>
  </si>
  <si>
    <t>Ángel Albino Corzo</t>
  </si>
  <si>
    <t>009</t>
  </si>
  <si>
    <t>Arriaga</t>
  </si>
  <si>
    <t>010</t>
  </si>
  <si>
    <t>Bejucal de Ocampo</t>
  </si>
  <si>
    <t>011</t>
  </si>
  <si>
    <t>Bella Vista</t>
  </si>
  <si>
    <t>012</t>
  </si>
  <si>
    <t>Berriozábal</t>
  </si>
  <si>
    <t>013</t>
  </si>
  <si>
    <t>Bochil</t>
  </si>
  <si>
    <t>014</t>
  </si>
  <si>
    <t>El Bosque</t>
  </si>
  <si>
    <t>015</t>
  </si>
  <si>
    <t>Cacahoatán</t>
  </si>
  <si>
    <t>016</t>
  </si>
  <si>
    <t>Catazajá</t>
  </si>
  <si>
    <t>017</t>
  </si>
  <si>
    <t>Cintalapa</t>
  </si>
  <si>
    <t>018</t>
  </si>
  <si>
    <t>Coapilla</t>
  </si>
  <si>
    <t>019</t>
  </si>
  <si>
    <t>Comitán de Domínguez</t>
  </si>
  <si>
    <t>020</t>
  </si>
  <si>
    <t>La Concordia</t>
  </si>
  <si>
    <t>021</t>
  </si>
  <si>
    <t>Copainalá</t>
  </si>
  <si>
    <t>022</t>
  </si>
  <si>
    <t>Chalchihuitán</t>
  </si>
  <si>
    <t>023</t>
  </si>
  <si>
    <t>Chamula</t>
  </si>
  <si>
    <t>024</t>
  </si>
  <si>
    <t>Chanal</t>
  </si>
  <si>
    <t>025</t>
  </si>
  <si>
    <t>Chapultenango</t>
  </si>
  <si>
    <t>026</t>
  </si>
  <si>
    <t>Chenalhó</t>
  </si>
  <si>
    <t>027</t>
  </si>
  <si>
    <t>Chiapa de Corzo</t>
  </si>
  <si>
    <t>028</t>
  </si>
  <si>
    <t>Chiapilla</t>
  </si>
  <si>
    <t>029</t>
  </si>
  <si>
    <t>Chicoasén</t>
  </si>
  <si>
    <t>030</t>
  </si>
  <si>
    <t>Chicomuselo</t>
  </si>
  <si>
    <t>031</t>
  </si>
  <si>
    <t>Chilón</t>
  </si>
  <si>
    <t>032</t>
  </si>
  <si>
    <t>Escuintla</t>
  </si>
  <si>
    <t>033</t>
  </si>
  <si>
    <t>Francisco León</t>
  </si>
  <si>
    <t>034</t>
  </si>
  <si>
    <t>Frontera Comalapa</t>
  </si>
  <si>
    <t>035</t>
  </si>
  <si>
    <t>Frontera Hidalgo</t>
  </si>
  <si>
    <t>036</t>
  </si>
  <si>
    <t>La Grandeza</t>
  </si>
  <si>
    <t>037</t>
  </si>
  <si>
    <t>Huehuetán</t>
  </si>
  <si>
    <t>038</t>
  </si>
  <si>
    <t>Huixtán</t>
  </si>
  <si>
    <t>039</t>
  </si>
  <si>
    <t>Huitiupán</t>
  </si>
  <si>
    <t>040</t>
  </si>
  <si>
    <t>Huixtla</t>
  </si>
  <si>
    <t>041</t>
  </si>
  <si>
    <t>La Independencia</t>
  </si>
  <si>
    <t>042</t>
  </si>
  <si>
    <t>Ixhuatán</t>
  </si>
  <si>
    <t>043</t>
  </si>
  <si>
    <t>Ixtacomitán</t>
  </si>
  <si>
    <t>044</t>
  </si>
  <si>
    <t>Ixtapa</t>
  </si>
  <si>
    <t>045</t>
  </si>
  <si>
    <t>Ixtapangajoya</t>
  </si>
  <si>
    <t>046</t>
  </si>
  <si>
    <t>Jiquipilas</t>
  </si>
  <si>
    <t>047</t>
  </si>
  <si>
    <t>Jitotol</t>
  </si>
  <si>
    <t>048</t>
  </si>
  <si>
    <t>Juárez</t>
  </si>
  <si>
    <t>049</t>
  </si>
  <si>
    <t>Larráinzar</t>
  </si>
  <si>
    <t>050</t>
  </si>
  <si>
    <t>La Libertad</t>
  </si>
  <si>
    <t>051</t>
  </si>
  <si>
    <t>Mapastepec</t>
  </si>
  <si>
    <t>052</t>
  </si>
  <si>
    <t>Las Margaritas</t>
  </si>
  <si>
    <t>053</t>
  </si>
  <si>
    <t>Mazapa de Madero</t>
  </si>
  <si>
    <t>054</t>
  </si>
  <si>
    <t>Mazatán</t>
  </si>
  <si>
    <t>055</t>
  </si>
  <si>
    <t>Metapa</t>
  </si>
  <si>
    <t>056</t>
  </si>
  <si>
    <t>Mitontic</t>
  </si>
  <si>
    <t>057</t>
  </si>
  <si>
    <t>Motozintla</t>
  </si>
  <si>
    <t>058</t>
  </si>
  <si>
    <t>Nicolás Ruíz</t>
  </si>
  <si>
    <t>059</t>
  </si>
  <si>
    <t>Ocosingo</t>
  </si>
  <si>
    <t>060</t>
  </si>
  <si>
    <t>Ocotepec</t>
  </si>
  <si>
    <t>061</t>
  </si>
  <si>
    <t>Ocozocoautla de Espinosa</t>
  </si>
  <si>
    <t>062</t>
  </si>
  <si>
    <t>Ostuacán</t>
  </si>
  <si>
    <t>063</t>
  </si>
  <si>
    <t>Osumacinta</t>
  </si>
  <si>
    <t>064</t>
  </si>
  <si>
    <t>Oxchuc</t>
  </si>
  <si>
    <t>065</t>
  </si>
  <si>
    <t>Palenque</t>
  </si>
  <si>
    <t>066</t>
  </si>
  <si>
    <t>Pantelhó</t>
  </si>
  <si>
    <t>067</t>
  </si>
  <si>
    <t>Pantepec</t>
  </si>
  <si>
    <t>068</t>
  </si>
  <si>
    <t>Pichucalco</t>
  </si>
  <si>
    <t>069</t>
  </si>
  <si>
    <t>Pijijiapan</t>
  </si>
  <si>
    <t>070</t>
  </si>
  <si>
    <t>El Porvenir</t>
  </si>
  <si>
    <t>071</t>
  </si>
  <si>
    <t>Villa Comaltitlán</t>
  </si>
  <si>
    <t>072</t>
  </si>
  <si>
    <t>Pueblo Nuevo Solistahuacán</t>
  </si>
  <si>
    <t>073</t>
  </si>
  <si>
    <t>Rayón</t>
  </si>
  <si>
    <t>074</t>
  </si>
  <si>
    <t>Reforma</t>
  </si>
  <si>
    <t>075</t>
  </si>
  <si>
    <t>Las Rosas</t>
  </si>
  <si>
    <t>076</t>
  </si>
  <si>
    <t>Sabanilla</t>
  </si>
  <si>
    <t>077</t>
  </si>
  <si>
    <t>Salto de Agua</t>
  </si>
  <si>
    <t>078</t>
  </si>
  <si>
    <t>San Cristóbal de las Casas</t>
  </si>
  <si>
    <t>079</t>
  </si>
  <si>
    <t>San Fernando</t>
  </si>
  <si>
    <t>080</t>
  </si>
  <si>
    <t>Siltepec</t>
  </si>
  <si>
    <t>081</t>
  </si>
  <si>
    <t>Simojovel</t>
  </si>
  <si>
    <t>082</t>
  </si>
  <si>
    <t>Sitalá</t>
  </si>
  <si>
    <t>083</t>
  </si>
  <si>
    <t>Socoltenango</t>
  </si>
  <si>
    <t>084</t>
  </si>
  <si>
    <t>Solosuchiapa</t>
  </si>
  <si>
    <t>085</t>
  </si>
  <si>
    <t>Soyaló</t>
  </si>
  <si>
    <t>086</t>
  </si>
  <si>
    <t>Suchiapa</t>
  </si>
  <si>
    <t>087</t>
  </si>
  <si>
    <t>Suchiate</t>
  </si>
  <si>
    <t>088</t>
  </si>
  <si>
    <t>Sunuapa</t>
  </si>
  <si>
    <t>089</t>
  </si>
  <si>
    <t>Tapachula</t>
  </si>
  <si>
    <t>090</t>
  </si>
  <si>
    <t>Tapalapa</t>
  </si>
  <si>
    <t>091</t>
  </si>
  <si>
    <t>Tapilula</t>
  </si>
  <si>
    <t>092</t>
  </si>
  <si>
    <t>Tecpatán</t>
  </si>
  <si>
    <t>093</t>
  </si>
  <si>
    <t>Tenejapa</t>
  </si>
  <si>
    <t>094</t>
  </si>
  <si>
    <t>Teopisca</t>
  </si>
  <si>
    <t>096</t>
  </si>
  <si>
    <t>Tila</t>
  </si>
  <si>
    <t>097</t>
  </si>
  <si>
    <t>Tonalá</t>
  </si>
  <si>
    <t>098</t>
  </si>
  <si>
    <t>Totolapa</t>
  </si>
  <si>
    <t>099</t>
  </si>
  <si>
    <t>La Trinitaria</t>
  </si>
  <si>
    <t>100</t>
  </si>
  <si>
    <t>Tumbalá</t>
  </si>
  <si>
    <t>101</t>
  </si>
  <si>
    <t>Tuxtla Gutiérrez</t>
  </si>
  <si>
    <t>102</t>
  </si>
  <si>
    <t>Tuxtla Chico</t>
  </si>
  <si>
    <t>103</t>
  </si>
  <si>
    <t>Tuzantán</t>
  </si>
  <si>
    <t>104</t>
  </si>
  <si>
    <t>Tzimol</t>
  </si>
  <si>
    <t>105</t>
  </si>
  <si>
    <t>Unión Juárez</t>
  </si>
  <si>
    <t>106</t>
  </si>
  <si>
    <t>Venustiano Carranza</t>
  </si>
  <si>
    <t>107</t>
  </si>
  <si>
    <t>Villa Corzo</t>
  </si>
  <si>
    <t>108</t>
  </si>
  <si>
    <t>Villaflores</t>
  </si>
  <si>
    <t>109</t>
  </si>
  <si>
    <t>Yajalón</t>
  </si>
  <si>
    <t>110</t>
  </si>
  <si>
    <t>San Lucas</t>
  </si>
  <si>
    <t>111</t>
  </si>
  <si>
    <t>Zinacantán</t>
  </si>
  <si>
    <t>112</t>
  </si>
  <si>
    <t>San Juan Cancuc</t>
  </si>
  <si>
    <t>113</t>
  </si>
  <si>
    <t>Aldama</t>
  </si>
  <si>
    <t>114</t>
  </si>
  <si>
    <t>Benemérito de las Américas</t>
  </si>
  <si>
    <t>115</t>
  </si>
  <si>
    <t>Maravilla Tenejapa</t>
  </si>
  <si>
    <t>116</t>
  </si>
  <si>
    <t>Marqués de Comillas</t>
  </si>
  <si>
    <t>117</t>
  </si>
  <si>
    <t>Montecristo de Guerrero</t>
  </si>
  <si>
    <t>118</t>
  </si>
  <si>
    <t>San Andrés Duraznal</t>
  </si>
  <si>
    <t>119</t>
  </si>
  <si>
    <t>Santiago el Pinar</t>
  </si>
  <si>
    <t>120</t>
  </si>
  <si>
    <t>Capitan Luis Ángel Vidal</t>
  </si>
  <si>
    <t>121</t>
  </si>
  <si>
    <t>Rincón Chamula San Pedro</t>
  </si>
  <si>
    <t>122</t>
  </si>
  <si>
    <t>El Parral</t>
  </si>
  <si>
    <t>123</t>
  </si>
  <si>
    <t>Emiliano Zapata</t>
  </si>
  <si>
    <t>124</t>
  </si>
  <si>
    <t>Mezcalapa</t>
  </si>
  <si>
    <t>125</t>
  </si>
  <si>
    <t>Honduras de la Sierra</t>
  </si>
  <si>
    <t>POB TOT 2000</t>
  </si>
  <si>
    <t>PT_00</t>
  </si>
  <si>
    <t>PT_10</t>
  </si>
  <si>
    <t>POB TOT 2010</t>
  </si>
  <si>
    <t>POB TOT 2020</t>
  </si>
  <si>
    <t>PT_20</t>
  </si>
  <si>
    <t>DH_10-20</t>
  </si>
  <si>
    <t>DIF_HAB_10-20</t>
  </si>
  <si>
    <t>DIF_%_10-20</t>
  </si>
  <si>
    <t>D%_10-20</t>
  </si>
  <si>
    <t>PH_20</t>
  </si>
  <si>
    <t>PM_20</t>
  </si>
  <si>
    <t>POB_TOT_HOM_20</t>
  </si>
  <si>
    <t>POB_TOT_MUJ_20</t>
  </si>
  <si>
    <t>PU_20</t>
  </si>
  <si>
    <t>PR_20</t>
  </si>
  <si>
    <t>POB_URB_20</t>
  </si>
  <si>
    <t>POB_RUR_20</t>
  </si>
  <si>
    <t>POBH_00-04</t>
  </si>
  <si>
    <t>POBH_05-09</t>
  </si>
  <si>
    <t>POBH_10-14</t>
  </si>
  <si>
    <t>POBH_15-19</t>
  </si>
  <si>
    <t>POBH_20-24</t>
  </si>
  <si>
    <t>POBH_25-29</t>
  </si>
  <si>
    <t>POBH_30-34</t>
  </si>
  <si>
    <t>POBH_35-39</t>
  </si>
  <si>
    <t>POBH_40-44</t>
  </si>
  <si>
    <t>POBH_45-49</t>
  </si>
  <si>
    <t>POBH_50-54</t>
  </si>
  <si>
    <t>POBH_55-59</t>
  </si>
  <si>
    <t>POBH_60-64</t>
  </si>
  <si>
    <t>POBH_65_y_más</t>
  </si>
  <si>
    <t>POBM_00-04</t>
  </si>
  <si>
    <t>POBM_05-09</t>
  </si>
  <si>
    <t>POBM_10-14</t>
  </si>
  <si>
    <t>POBM_15-19</t>
  </si>
  <si>
    <t>POBM_20-24</t>
  </si>
  <si>
    <t>POBM_25-29</t>
  </si>
  <si>
    <t>POBM_30-34</t>
  </si>
  <si>
    <t>POBM_35-39</t>
  </si>
  <si>
    <t>POBM_40-44</t>
  </si>
  <si>
    <t>POBM_45-49</t>
  </si>
  <si>
    <t>POBM_50-54</t>
  </si>
  <si>
    <t>POBM_55-59</t>
  </si>
  <si>
    <t>POBM_60-64</t>
  </si>
  <si>
    <t>POB_MUJ_60-64 años_20</t>
  </si>
  <si>
    <t>POB_MUJ_55-59 años_20</t>
  </si>
  <si>
    <t>POB_MUJ_50-54 años_20</t>
  </si>
  <si>
    <t>POB_MUJ_45-49 años_20</t>
  </si>
  <si>
    <t>POB_MUJ_40-44 años_20</t>
  </si>
  <si>
    <t>POB_MUJ_35-39 años_20</t>
  </si>
  <si>
    <t>POB_MUJ_30-34 años_20</t>
  </si>
  <si>
    <t>POB_MUJ_25-29 años_20</t>
  </si>
  <si>
    <t>POB_MUJ_20-24 años_20</t>
  </si>
  <si>
    <t>POB_MUJ_15-19 años_20</t>
  </si>
  <si>
    <t>POB_MUJ_10-14 años_20</t>
  </si>
  <si>
    <t>POB_MUJ_05-09 años_20</t>
  </si>
  <si>
    <t>POB_MUJ_00-04 años_20</t>
  </si>
  <si>
    <t>POB_HOM_65 y más años_20</t>
  </si>
  <si>
    <t>POB_HOM_60-64 años_20</t>
  </si>
  <si>
    <t>POB_HOM_55-59 años_20</t>
  </si>
  <si>
    <t>POB_HOM_50-54 años_20</t>
  </si>
  <si>
    <t>POB_HOM_45-49 años_20</t>
  </si>
  <si>
    <t>POB_HOM_40-44 años_20</t>
  </si>
  <si>
    <t>POB_HOM_35-39 años_20</t>
  </si>
  <si>
    <t>POB_HOM_30-34 años_20</t>
  </si>
  <si>
    <t>POB_HOM_25-29 años_20</t>
  </si>
  <si>
    <t>POB_HOM_20-24 años_20</t>
  </si>
  <si>
    <t>POB_HOM_15-19 años_20</t>
  </si>
  <si>
    <t>POB_HOM_10-14 años_20</t>
  </si>
  <si>
    <t>POB_HOM_05-09 años_20</t>
  </si>
  <si>
    <t>POB_HOM_00-04 años_20</t>
  </si>
  <si>
    <t>ND</t>
  </si>
  <si>
    <t>Incremento 2010-2020</t>
  </si>
  <si>
    <t>Habitantes</t>
  </si>
  <si>
    <t>%</t>
  </si>
  <si>
    <t>Relación hombres-mujeres</t>
  </si>
  <si>
    <t>Urbana</t>
  </si>
  <si>
    <t>Rural</t>
  </si>
  <si>
    <t>En la entidad</t>
  </si>
  <si>
    <t>En otra entidad</t>
  </si>
  <si>
    <t>En los Estados Unidos de Ámerica</t>
  </si>
  <si>
    <t>En otro país</t>
  </si>
  <si>
    <t>Grupo Quinquenal</t>
  </si>
  <si>
    <t>00-04 Años</t>
  </si>
  <si>
    <t>05-09 Años</t>
  </si>
  <si>
    <t>10-14 Años</t>
  </si>
  <si>
    <t>15-19 Años</t>
  </si>
  <si>
    <t>20-24 Años</t>
  </si>
  <si>
    <t>25-29 Años</t>
  </si>
  <si>
    <t>30-34 Años</t>
  </si>
  <si>
    <t>35-39 Años</t>
  </si>
  <si>
    <t>40-44 Años</t>
  </si>
  <si>
    <t>45-49 Años</t>
  </si>
  <si>
    <t>50-54 Años</t>
  </si>
  <si>
    <t>55-59 Años</t>
  </si>
  <si>
    <t>60-64 Años</t>
  </si>
  <si>
    <t>65 y más años</t>
  </si>
  <si>
    <t>CHIAPAS. CARACTERÍSTICAS DE LAS VIVIENDAS 2020</t>
  </si>
  <si>
    <t>SERVICIOS EN LAS VIVIENDAS</t>
  </si>
  <si>
    <t>ESPACIO DE LAS VIVIENDAS</t>
  </si>
  <si>
    <t>2020</t>
  </si>
  <si>
    <t>2010</t>
  </si>
  <si>
    <t>2000</t>
  </si>
  <si>
    <t>POBH_NE</t>
  </si>
  <si>
    <t>POB_HOM_NO_ESP_20</t>
  </si>
  <si>
    <t>NA</t>
  </si>
  <si>
    <t>P_HLI_20</t>
  </si>
  <si>
    <t>P_H__HLI</t>
  </si>
  <si>
    <t>P_F_HLI</t>
  </si>
  <si>
    <t>P_HLI_00</t>
  </si>
  <si>
    <t>P_HLI_10</t>
  </si>
  <si>
    <t>POB_3_Y_MAS_HAB_L_I_2010</t>
  </si>
  <si>
    <t>POB_3_Y_MAS_HAB_L_I_2000</t>
  </si>
  <si>
    <t>POB_FEM_3_Y_MAS_HAB_L_I_2020</t>
  </si>
  <si>
    <t>POB_HOM_3_Y_MAS_HAB_L_I_2020</t>
  </si>
  <si>
    <t>POB_3_Y_MAS_HAB_L_I_2020</t>
  </si>
  <si>
    <t>POB_NAC_NO_ESP_2020</t>
  </si>
  <si>
    <t>P_NA_NE_20</t>
  </si>
  <si>
    <t>POB_NAC_OTR_PAI_2020</t>
  </si>
  <si>
    <t>P_NA_O_PAI_20</t>
  </si>
  <si>
    <t>P_NA_EUA_20</t>
  </si>
  <si>
    <t>POB_NAC_EUA_2020</t>
  </si>
  <si>
    <t>P_NA_O_ENT_20</t>
  </si>
  <si>
    <t>POB_NAC_OTR_ENT_2020</t>
  </si>
  <si>
    <t>P_NA_ENT_20</t>
  </si>
  <si>
    <t>POB_NAC_ENT_2020</t>
  </si>
  <si>
    <t>POBM_NE_20</t>
  </si>
  <si>
    <t>POB_MUJ_NO_ESP_2020</t>
  </si>
  <si>
    <t>POB_MUJ_65 y más años_2020</t>
  </si>
  <si>
    <t>POBM_65ymas_20</t>
  </si>
  <si>
    <t>Población de 3 años y más HLI</t>
  </si>
  <si>
    <t>PH_3-4_HLI_20</t>
  </si>
  <si>
    <t>PM_3-4_HLI_20</t>
  </si>
  <si>
    <t>POB_MUJ_3-4_HAB_L_I_2020</t>
  </si>
  <si>
    <t>POB_HOM_5-9_HAB_L_I_2020</t>
  </si>
  <si>
    <t>PH_5-9_HLI_20</t>
  </si>
  <si>
    <t>POB_MUJ_5-9_HAB_L_I_2020</t>
  </si>
  <si>
    <t>PM_5-9_HLI_20</t>
  </si>
  <si>
    <t>POB_HOM_10-14_HAB_L_I_2020</t>
  </si>
  <si>
    <t>PH_10-14_HLI_20</t>
  </si>
  <si>
    <t>POB_MUJ_10-14_HAB_L_I_2020</t>
  </si>
  <si>
    <t>PM_10-14_HLI_20</t>
  </si>
  <si>
    <t>POB_HOM_15-19_HAB_L_I_2020</t>
  </si>
  <si>
    <t>PH_15-19_HLI_20</t>
  </si>
  <si>
    <t>POB_MUJ_15-19_HAB_L_I_2020</t>
  </si>
  <si>
    <t>PM_15-19_HLI_20</t>
  </si>
  <si>
    <t>POB_HOM_20-24_HAB_L_I_2020</t>
  </si>
  <si>
    <t>PH_20-24_HLI_20</t>
  </si>
  <si>
    <t>POB_MUJ_20-24_HAB_L_I_2020</t>
  </si>
  <si>
    <t>PM_20-24_HLI_20</t>
  </si>
  <si>
    <t>POB_HOM_25-29_HAB_L_I_2020</t>
  </si>
  <si>
    <t>PH_25-29_HLI_20</t>
  </si>
  <si>
    <t>POB_MUJ_25-29_HAB_L_I_2020</t>
  </si>
  <si>
    <t>PM_25-29_HLI_20</t>
  </si>
  <si>
    <t>POB_HOM_30-34_HAB_L_I_2020</t>
  </si>
  <si>
    <t>PH_30-34_HLI_20</t>
  </si>
  <si>
    <t>POB_MUJ_30-34_HAB_L_I_2020</t>
  </si>
  <si>
    <t>PM_30-34_HLI_20</t>
  </si>
  <si>
    <t>POB_HOM_35-39_HAB_L_I_2020</t>
  </si>
  <si>
    <t>PH_35-39_HLI_20</t>
  </si>
  <si>
    <t>POB_MUJ_40-44_HAB_L_I_2020</t>
  </si>
  <si>
    <t>PM_40-44_HLI_20</t>
  </si>
  <si>
    <t>POB_MUJ_35-39_HAB_L_I_2020</t>
  </si>
  <si>
    <t>PM_35-39_HLI_20</t>
  </si>
  <si>
    <t>POB_HOM_40-44_HAB_L_I_2020</t>
  </si>
  <si>
    <t>PH_40-44_HLI_20</t>
  </si>
  <si>
    <t>POB_HOM_45-49_HAB_L_I_2020</t>
  </si>
  <si>
    <t>PH_45-49_HLI_20</t>
  </si>
  <si>
    <t>POB_MUJ_45-49_HAB_L_I_2020</t>
  </si>
  <si>
    <t>PM_45-49_HLI_20</t>
  </si>
  <si>
    <t>POB_HOM_50-54_HAB_L_I_2020</t>
  </si>
  <si>
    <t>PH_50-54_HLI_20</t>
  </si>
  <si>
    <t>POB_MUJ_50-54_HAB_L_I_2020</t>
  </si>
  <si>
    <t>PM_50-54_HLI_20</t>
  </si>
  <si>
    <t>POB_HOM_55-59_HAB_L_I_2020</t>
  </si>
  <si>
    <t>PH_55-59_HLI_20</t>
  </si>
  <si>
    <t>POB_MUJ_55-59_HAB_L_I_2020</t>
  </si>
  <si>
    <t>PM_55-59_HLI_20</t>
  </si>
  <si>
    <t>POB_HOM_60-64_HAB_L_I_2020</t>
  </si>
  <si>
    <t>PH_60-64_HLI_20</t>
  </si>
  <si>
    <t>POB_MUJ_60-64_HAB_L_I_2020</t>
  </si>
  <si>
    <t>PM_60-64_HLI_20</t>
  </si>
  <si>
    <t>POB_HOM_65_Y_MAS_HAB_L_I_2020</t>
  </si>
  <si>
    <t>PH_65_MAS_HLI_20</t>
  </si>
  <si>
    <t>PM_65_MAS_HLI_20</t>
  </si>
  <si>
    <t>POB_MUJ_65_Y_MAS_HAB_L_I_2020</t>
  </si>
  <si>
    <t>03-04 Años</t>
  </si>
  <si>
    <t>POB_HOM_3_Y_MAS_HAB_L_I_Y_ESP_2020</t>
  </si>
  <si>
    <t>POB_MUJ_3_Y_MAS_HAB_L_I_Y_ESP_2020</t>
  </si>
  <si>
    <t>POB_HOM_3_Y_MAS_HAB_L_I_NO_ESP_2020</t>
  </si>
  <si>
    <t>POB_MUJ_3_Y_MAS_HAB_L_I_NO_ESP_2020</t>
  </si>
  <si>
    <t>PH_HLI_ESP_20</t>
  </si>
  <si>
    <t>PM_HLI_ESP_20</t>
  </si>
  <si>
    <t>PH_HLI_NOESP_20</t>
  </si>
  <si>
    <t>PM_HLI_NOESP_20</t>
  </si>
  <si>
    <t>Hombres que hablan español</t>
  </si>
  <si>
    <t>Mujeres que hablan español</t>
  </si>
  <si>
    <t>Hombres que no hablan español</t>
  </si>
  <si>
    <t>Mujeres que no hablan español</t>
  </si>
  <si>
    <t>Población de 3 años y más, que habla alguna lengua indígena. 2020</t>
  </si>
  <si>
    <t>Población de 3 años y más, que habla alguna lengua indígena, por sexo. 2020</t>
  </si>
  <si>
    <t>Población total</t>
  </si>
  <si>
    <t>Mujer</t>
  </si>
  <si>
    <t>Hombre</t>
  </si>
  <si>
    <t>Hogares por sexo del jefe(a). 2020</t>
  </si>
  <si>
    <t>Población en hogares por sexo del jefe(a). 2020</t>
  </si>
  <si>
    <t>1 integrante</t>
  </si>
  <si>
    <t>2 integrantes</t>
  </si>
  <si>
    <t>3 integrantes</t>
  </si>
  <si>
    <t>4 integrantes</t>
  </si>
  <si>
    <t>5 integrantes</t>
  </si>
  <si>
    <t>6 y más integrantes</t>
  </si>
  <si>
    <t>HOG_JEF_HOM_2020</t>
  </si>
  <si>
    <t>HOG_JEF_MUJ_2020</t>
  </si>
  <si>
    <t>HOG_J_H_20</t>
  </si>
  <si>
    <t>HOG_J_M_20</t>
  </si>
  <si>
    <t>POB_HOG_JEF_HOM_2020</t>
  </si>
  <si>
    <t>POB_HOG_J_H_20</t>
  </si>
  <si>
    <t>POB_HOG_JEF_MUJ_2020</t>
  </si>
  <si>
    <t>POB_HOG_J_M_20</t>
  </si>
  <si>
    <t>Hogares</t>
  </si>
  <si>
    <t>HOG_1_INTEG_2020</t>
  </si>
  <si>
    <t>HOG_1_INT_20</t>
  </si>
  <si>
    <t>HOG_2_INT_20</t>
  </si>
  <si>
    <t>HOG_2_INTEG_2020</t>
  </si>
  <si>
    <t>HOG_3_INT_20</t>
  </si>
  <si>
    <t>HOG_3_INTEG_2020</t>
  </si>
  <si>
    <t>HOG_4_INT_20</t>
  </si>
  <si>
    <t>HOG_4_INTEG_2020</t>
  </si>
  <si>
    <t>HOG_5_INT_20</t>
  </si>
  <si>
    <t>HOG_5_INTEG_2020</t>
  </si>
  <si>
    <t>HOG_6o+_INT_20</t>
  </si>
  <si>
    <t>HOG_6_Y_MAS_INTEG_2020</t>
  </si>
  <si>
    <t>P_H_REL_ESP_20</t>
  </si>
  <si>
    <t>POB_HOG_REL_JEF_ESP_2020</t>
  </si>
  <si>
    <t>POB_HOG_REL_JEF_HIJ_2020</t>
  </si>
  <si>
    <t>P_H_REL_HIJ_20</t>
  </si>
  <si>
    <t>POB_HOG_REL_JEF_NIET_2020</t>
  </si>
  <si>
    <t>P_H_REL_NIE_20</t>
  </si>
  <si>
    <t>POB_HOG_REL_JEF_NUER_2020</t>
  </si>
  <si>
    <t>P_H_REL_NUE_20</t>
  </si>
  <si>
    <t>POB_HOG_REL_JEF_MADR_2020</t>
  </si>
  <si>
    <t>P_H_REL_MAD_20</t>
  </si>
  <si>
    <t>POB_HOG_REL_JEF_OTR_2020</t>
  </si>
  <si>
    <t>P_H_REL_OTR_20</t>
  </si>
  <si>
    <t>P_H_REL_NIN_20</t>
  </si>
  <si>
    <t>POB_HOG_REL_JEF_NING_2020</t>
  </si>
  <si>
    <t>POB_HOG_FAM_NUCLEAR_2020</t>
  </si>
  <si>
    <t>P_H_FAM_NUC_20</t>
  </si>
  <si>
    <t>POB_HOG_FAM_AMPL_2020</t>
  </si>
  <si>
    <t>P_H_FAM_AMP_20</t>
  </si>
  <si>
    <t>POB_HOG_FAM_COMP_2020</t>
  </si>
  <si>
    <t>P_H_FAM_COMP_20</t>
  </si>
  <si>
    <t>POB_HOG_NO_FAM_UNIPERS_2020</t>
  </si>
  <si>
    <t>P_H_NFAM_UNI_20</t>
  </si>
  <si>
    <t>POB_HOG_NO_FAM_CORR_2020</t>
  </si>
  <si>
    <t>P_H_NFAM_CORR_20</t>
  </si>
  <si>
    <t>Población</t>
  </si>
  <si>
    <t>Familiar nuclear</t>
  </si>
  <si>
    <t>Familiar ampliado</t>
  </si>
  <si>
    <t>Familiar compuesto</t>
  </si>
  <si>
    <t>No familiar unipersonal</t>
  </si>
  <si>
    <t>No familiar de corresidente</t>
  </si>
  <si>
    <t>Relación de parentesco con la jefa o jefe del hogar. 2020</t>
  </si>
  <si>
    <t>Esposa (o) o compañera (o)</t>
  </si>
  <si>
    <t>Hija (o)</t>
  </si>
  <si>
    <t>Nieta (o)</t>
  </si>
  <si>
    <t>Nuera o yerno</t>
  </si>
  <si>
    <t>Madre, padre o suegra (o)</t>
  </si>
  <si>
    <t>Otro parentesco</t>
  </si>
  <si>
    <t>Sin parentesco</t>
  </si>
  <si>
    <t>Fuente: INEGI, Censo de Población y Vivienda  2020</t>
  </si>
  <si>
    <t>De 250 a 499 habitantes</t>
  </si>
  <si>
    <t>De 500 a 2,499 habitantes</t>
  </si>
  <si>
    <t>De 2,500 a 4,999 habitantes</t>
  </si>
  <si>
    <t>De 5,000 a 9,999 habitantes</t>
  </si>
  <si>
    <t>De 10,000 a 49,999 habitantes</t>
  </si>
  <si>
    <t>De 50,000 a 99,999 habitantes</t>
  </si>
  <si>
    <t>De 100,000 y más habitantes</t>
  </si>
  <si>
    <t>POB_LOC_250-499_HAB_2020</t>
  </si>
  <si>
    <t>P_L_250-499_20</t>
  </si>
  <si>
    <t>POB_LOC_500-2499_HAB_2020</t>
  </si>
  <si>
    <t>P_L_500-2499_20</t>
  </si>
  <si>
    <t>POB_LOC_2500-4999_HAB_2020</t>
  </si>
  <si>
    <t>P_L_500-4999_20</t>
  </si>
  <si>
    <t>POB_LOC_5000-9999_HAB_2020</t>
  </si>
  <si>
    <t>P_L_5000-9999_20</t>
  </si>
  <si>
    <t>POB_LOC_10000-49999_HAB_2020</t>
  </si>
  <si>
    <t>P_L_10000-49999_20</t>
  </si>
  <si>
    <t>POB_LOC_50000-99999_HAB_2020</t>
  </si>
  <si>
    <t>P_L_50000-99999_20</t>
  </si>
  <si>
    <t>POB_LOC_100000_Y _MAS_HAB_2020</t>
  </si>
  <si>
    <t>P_L_100000+_20</t>
  </si>
  <si>
    <t>LOC_250-499_HAB_2020</t>
  </si>
  <si>
    <t>LOC_250-499_20</t>
  </si>
  <si>
    <t>LOC_500-2499_HAB_2020</t>
  </si>
  <si>
    <t>LOC_500-2499_20</t>
  </si>
  <si>
    <t>LOC_2500-4999_HAB_2020</t>
  </si>
  <si>
    <t>LOC_5000-9999_HAB_2020</t>
  </si>
  <si>
    <t>LOC_5000-9999_20</t>
  </si>
  <si>
    <t>LOC_10000-49999_HAB_2020</t>
  </si>
  <si>
    <t>LOC_10000-49999_20</t>
  </si>
  <si>
    <t>LOC_50000-99999_HAB_2020</t>
  </si>
  <si>
    <t>LOC_50000-99999_20</t>
  </si>
  <si>
    <t>LOC_100000_Y _MAS_HAB_2020</t>
  </si>
  <si>
    <t>LOC_100000+_20</t>
  </si>
  <si>
    <t>Fuente: INEGI, Censo de Población y Vivienda 2020</t>
  </si>
  <si>
    <t>Personas con alguna limitación</t>
  </si>
  <si>
    <t>Limitación para caminar o moverse</t>
  </si>
  <si>
    <t>Limitación para ver</t>
  </si>
  <si>
    <t>Limitación para escuchar</t>
  </si>
  <si>
    <t>Limitación para hablar o comunicarse</t>
  </si>
  <si>
    <t>Limitación mental</t>
  </si>
  <si>
    <t>POB_HOM_LIM_CAMIN_2020</t>
  </si>
  <si>
    <t>POB_MUJ_LIM_CAMIN_2020</t>
  </si>
  <si>
    <t>PH_LCAM_20</t>
  </si>
  <si>
    <t>PM_LCAM_20</t>
  </si>
  <si>
    <t>POB_HOM_LIM_VER_2020</t>
  </si>
  <si>
    <t>PH_LVER_20</t>
  </si>
  <si>
    <t>POB_MUJ_LIM_VER_2020</t>
  </si>
  <si>
    <t>PM_LVER_20</t>
  </si>
  <si>
    <t>POB_HOM_LIM_ESCUCH_2020</t>
  </si>
  <si>
    <t>PH_LESC_20</t>
  </si>
  <si>
    <t>POB_MUJ_LIM_HABLAR_2020</t>
  </si>
  <si>
    <t>PM_LHAB_20</t>
  </si>
  <si>
    <t>POB_MUJ_LIM_ESCUCH_2020</t>
  </si>
  <si>
    <t>PM_LESC_20</t>
  </si>
  <si>
    <t>POB_HOM_LIM_HABLAR_2020</t>
  </si>
  <si>
    <t>PH_LHAB_20</t>
  </si>
  <si>
    <t>POB_HOM_LIM_MENTAL_2020</t>
  </si>
  <si>
    <t>PH_LMENT_20</t>
  </si>
  <si>
    <t>POB_MUJ_LIM_MENTAL_2020</t>
  </si>
  <si>
    <t>PM_LMENT_20</t>
  </si>
  <si>
    <t>Caminar o moverse</t>
  </si>
  <si>
    <t>Hablar o comunicarse</t>
  </si>
  <si>
    <t>Mental</t>
  </si>
  <si>
    <t>Limitación</t>
  </si>
  <si>
    <t>Valor</t>
  </si>
  <si>
    <t>Ver</t>
  </si>
  <si>
    <t>Escuchar</t>
  </si>
  <si>
    <t>PDER_LCAM_20</t>
  </si>
  <si>
    <t>POB_DERECH_LIM_VER_2020</t>
  </si>
  <si>
    <t>POB_DERECH_LIM_ESCUCH_2020</t>
  </si>
  <si>
    <t>POB_DERECH_LIM_HABLAR_2020</t>
  </si>
  <si>
    <t>POB_DERECH_LIM_MENTAL_2020</t>
  </si>
  <si>
    <t>PDER_LMENT_20</t>
  </si>
  <si>
    <t>PDER_LHAB_20</t>
  </si>
  <si>
    <t>PDER_LESC_20</t>
  </si>
  <si>
    <t>PDER_LVER_20</t>
  </si>
  <si>
    <t>POB_DERECH_LIM_CAMIN_2020</t>
  </si>
  <si>
    <t>OCUPACIÓN</t>
  </si>
  <si>
    <r>
      <t>Ingreso por trabajo</t>
    </r>
    <r>
      <rPr>
        <b/>
        <vertAlign val="superscript"/>
        <sz val="9"/>
        <color theme="0"/>
        <rFont val="Gotham Book"/>
        <family val="3"/>
      </rPr>
      <t>1</t>
    </r>
  </si>
  <si>
    <t>PEA_HOM_2020</t>
  </si>
  <si>
    <t>PEAO_HOM_2020</t>
  </si>
  <si>
    <t>PEAD_HOM_2020</t>
  </si>
  <si>
    <t>PNEA_HOM_2020</t>
  </si>
  <si>
    <t>PEA_MUJ_2020</t>
  </si>
  <si>
    <t>PEAO_MUJ_2020</t>
  </si>
  <si>
    <t>PEAD_MUJ_2020</t>
  </si>
  <si>
    <t>PNEA_MUJ_2020</t>
  </si>
  <si>
    <t>PEA_H_20</t>
  </si>
  <si>
    <t>PEAO_H_20</t>
  </si>
  <si>
    <t>PEAD_H_20</t>
  </si>
  <si>
    <t>PNEA_H_20</t>
  </si>
  <si>
    <t>PEA_M_20</t>
  </si>
  <si>
    <t>PEAO_M_20</t>
  </si>
  <si>
    <t>PEAD_M_20</t>
  </si>
  <si>
    <t>PNEA_M_20</t>
  </si>
  <si>
    <t>POBLACIÓN HABLANTE DE LENGUA INDÍGENA</t>
  </si>
  <si>
    <t>Tasa específica de participación</t>
  </si>
  <si>
    <t>PEA por escolaridad</t>
  </si>
  <si>
    <t>Primario</t>
  </si>
  <si>
    <t>Secundario</t>
  </si>
  <si>
    <t>Comercio</t>
  </si>
  <si>
    <t>Servicios</t>
  </si>
  <si>
    <t>Primaria</t>
  </si>
  <si>
    <t>Secundaria incompleta</t>
  </si>
  <si>
    <t>Secundaria completa</t>
  </si>
  <si>
    <t>Estudios técnicos comerciales</t>
  </si>
  <si>
    <t>Media superior</t>
  </si>
  <si>
    <t>Superior</t>
  </si>
  <si>
    <t>Sin escolaridad</t>
  </si>
  <si>
    <t>No economicamente activa (PNEA)</t>
  </si>
  <si>
    <t>Economicamente activa (PEA)</t>
  </si>
  <si>
    <t>Economicamente activa desocupada</t>
  </si>
  <si>
    <t>Población de 12 y más años por condición de actividad económica y ocupación. 2020</t>
  </si>
  <si>
    <t>Economicamente activa cupada (PEAO)</t>
  </si>
  <si>
    <t>POC_PRIM_20</t>
  </si>
  <si>
    <t>POC_SEC_20</t>
  </si>
  <si>
    <t>POC_COM_20</t>
  </si>
  <si>
    <t>POC_SERV_20</t>
  </si>
  <si>
    <t>POC_NESP_20</t>
  </si>
  <si>
    <t>%_POB_OC_PRIMARIO_2020</t>
  </si>
  <si>
    <t>%_POB_OC_SECUNDARIO_2020</t>
  </si>
  <si>
    <t>%_POB_OC_COMERCIO_2020</t>
  </si>
  <si>
    <t>%_POB_OC_SERVICIOS_2020</t>
  </si>
  <si>
    <t>%_POB_OC_NO_ESP_2020</t>
  </si>
  <si>
    <t>Porcentaje de población económicamente activa ocupada (PEAO) por sector de actividad económica. 2020</t>
  </si>
  <si>
    <t>PEA_S_ESC_Y_PRIM_2020</t>
  </si>
  <si>
    <t>PEA_CON_PRIM_2020</t>
  </si>
  <si>
    <t>PEA_CON_SEC_INCOMP_2020</t>
  </si>
  <si>
    <t>PEA_CON_SEC_COMP_2020</t>
  </si>
  <si>
    <t>PEA_CON_EST_TEC_C_PRIM_TERM_2020</t>
  </si>
  <si>
    <t>PEA_CON_ED_SUP_2020</t>
  </si>
  <si>
    <t>PEA_CON_ED_MED_SUP_2020</t>
  </si>
  <si>
    <t>PEA_S_ESC_20</t>
  </si>
  <si>
    <t>PEA_C_PRI_20</t>
  </si>
  <si>
    <t>PEA_C_SEC_IN_20</t>
  </si>
  <si>
    <t>PEA_C_SEC_COM_20</t>
  </si>
  <si>
    <t>PEA_C_EST_TEC_20</t>
  </si>
  <si>
    <t>PEA_C_E_SUP_20</t>
  </si>
  <si>
    <t>PEA_C_E_MED_20</t>
  </si>
  <si>
    <t>%_PEAO_1SALMIN_2020</t>
  </si>
  <si>
    <t>%_PEAO_MAS_1-2_SALMIN_2020</t>
  </si>
  <si>
    <t>%_PEAO_MAS_2_SALMIN_2020</t>
  </si>
  <si>
    <t>%_PEAO_INGR_NO_ESP_2020</t>
  </si>
  <si>
    <t>PEAO_1SALMIN_20</t>
  </si>
  <si>
    <t>PEAO_MAS_1-2_SALMIN_20</t>
  </si>
  <si>
    <t>PEAO_MAS_2_SALMIN_20</t>
  </si>
  <si>
    <t>PEAO_ING_NE_20</t>
  </si>
  <si>
    <t>Hasta 1 s.m.</t>
  </si>
  <si>
    <t>No esp.</t>
  </si>
  <si>
    <t>ISSSTE Estatal</t>
  </si>
  <si>
    <t>PEMEX, Defensa o Marina</t>
  </si>
  <si>
    <t>Institución privada</t>
  </si>
  <si>
    <t>Otra institución</t>
  </si>
  <si>
    <t>Edad</t>
  </si>
  <si>
    <t>85 y más años</t>
  </si>
  <si>
    <t>POB_DERECH_HOMB_IMSS_2020</t>
  </si>
  <si>
    <t>POB_DERECH_HOMB_ISSSTE_2020</t>
  </si>
  <si>
    <t>POB_DERECH_HOMB_ISSSTE_EST_2020</t>
  </si>
  <si>
    <t>POB_DERECH_HOMB_PEMEX_2020</t>
  </si>
  <si>
    <t>POB_DERECH_HOMB_SEG_POP_2020</t>
  </si>
  <si>
    <t>POB_DERECH_HOMB_PRIV_2020</t>
  </si>
  <si>
    <t>POB_DERECH_HOMB_2020</t>
  </si>
  <si>
    <t>POB_NO_DERECH_HOMB_2020</t>
  </si>
  <si>
    <t>POB_DERECH_HOMB_OTRA_2020</t>
  </si>
  <si>
    <t>POB_DERECH_MUJ_2020</t>
  </si>
  <si>
    <t>POB_NO_DERECH_MUJ_2020</t>
  </si>
  <si>
    <t>POB_DERECH_MUJ_IMSS_2020</t>
  </si>
  <si>
    <t>POB_DERECH_MUJ_ISSSTE_2020</t>
  </si>
  <si>
    <t>POB_DERECH_MUJ_ISSSTE_EST_2020</t>
  </si>
  <si>
    <t>POB_DERECH_MUJ_PEMEX_2020</t>
  </si>
  <si>
    <t>POB_DERECH_MUJ_SEG_POP_2020</t>
  </si>
  <si>
    <t>POB_DERECH_MUJ_PRIV_2020</t>
  </si>
  <si>
    <t>POB_DERECH_MUJ_OTRA_2020</t>
  </si>
  <si>
    <t>POB_DERECH_MUJ_NO_ESP_2020</t>
  </si>
  <si>
    <t>POB_DERECH_MUJ_85_AÑOS_Y_MAS_2020</t>
  </si>
  <si>
    <t>POB_DERECH_MUJ_80-84 AÑOS_2020</t>
  </si>
  <si>
    <t>POB_DERECH_MUJ_75-79 AÑOS_2020</t>
  </si>
  <si>
    <t>POB_DERECH_MUJ_70-74 AÑOS_2020</t>
  </si>
  <si>
    <t>POB_DERECH_MUJ_65-69 AÑOS_2020</t>
  </si>
  <si>
    <t>POB_DERECH_MUJ_60-64 AÑOS_2020</t>
  </si>
  <si>
    <t>POB_DERECH_MUJ_55-59 AÑOS_2020</t>
  </si>
  <si>
    <t>POB_DERECH_MUJ_50-54 AÑOS_2020</t>
  </si>
  <si>
    <t>POB_DERECH_MUJ_45-49 AÑOS_2020</t>
  </si>
  <si>
    <t>POB_DERECH_MUJ_40-44 AÑOS_2020</t>
  </si>
  <si>
    <t>POB_DERECH_MUJ_35-39 AÑOS_2020</t>
  </si>
  <si>
    <t>POB_DERECH_MUJ_30-34 AÑOS_2020</t>
  </si>
  <si>
    <t>POB_DERECH_MUJ_25-29 AÑOS_2020</t>
  </si>
  <si>
    <t>POB_DERECH_MUJ_20-24 AÑOS_2020</t>
  </si>
  <si>
    <t>POB_DERECH_MUJ_15-19 AÑOS_2020</t>
  </si>
  <si>
    <t>POB_DERECH_MUJ_10-14 AÑOS_2020</t>
  </si>
  <si>
    <t>POB_DERECH_MUJ_05-09 AÑOS_2020</t>
  </si>
  <si>
    <t>POB_DERECH_MUJ_00-04 AÑOS_2020</t>
  </si>
  <si>
    <t>POB_DERECH_HOM_85_AÑOS_Y_MÁS_2020</t>
  </si>
  <si>
    <t>POB_DERECH_HOM_80-84 AÑOS_2020</t>
  </si>
  <si>
    <t>POB_DERECH_HOM_75-79 AÑOS_2020</t>
  </si>
  <si>
    <t>POB_DERECH_HOM_70-74 AÑOS_2020</t>
  </si>
  <si>
    <t>POB_DERECH_HOM_65-69 AÑOS_2020</t>
  </si>
  <si>
    <t>POB_DERECH_HOM_60-64 AÑOS_2020</t>
  </si>
  <si>
    <t>POB_DERECH_HOM_55-59 AÑOS_2020</t>
  </si>
  <si>
    <t>POB_DERECH_HOM_50-54 AÑOS_2020</t>
  </si>
  <si>
    <t>POB_DERECH_HOM_45-49 AÑOS_2020</t>
  </si>
  <si>
    <t>POB_DERECH_HOM_40-44 AÑOS_2020</t>
  </si>
  <si>
    <t>POB_DERECH_HOM_35-39 AÑOS_2020</t>
  </si>
  <si>
    <t>POB_DERECH_HOM_30-34 AÑOS_2020</t>
  </si>
  <si>
    <t>POB_DERECH_HOM_25-29 AÑOS_2020</t>
  </si>
  <si>
    <t>POB_DERECH_HOM_20-24 AÑOS_2020</t>
  </si>
  <si>
    <t>POB_DERECH_HOM_15-19 AÑOS_2020</t>
  </si>
  <si>
    <t>POB_DERECH_HOM_10-14 AÑOS_2020</t>
  </si>
  <si>
    <t>POB_DERECH_HOM_05-09 AÑOS_2020</t>
  </si>
  <si>
    <t>POB_DERECH_HOM_00-04 AÑOS_2020</t>
  </si>
  <si>
    <t>Viviendas</t>
  </si>
  <si>
    <t>Agua entubada fuera de la vivienda pero dentro del terreno</t>
  </si>
  <si>
    <t>Agua de pipa</t>
  </si>
  <si>
    <t>% de viviendas</t>
  </si>
  <si>
    <t>Ocupantes</t>
  </si>
  <si>
    <t>% de ocupantes</t>
  </si>
  <si>
    <t>Viviendas habitadas y ocupantes de viviendas por tipo de vivienda. 2020</t>
  </si>
  <si>
    <t>Casa independiente</t>
  </si>
  <si>
    <t>Departamento en edificio</t>
  </si>
  <si>
    <t>Vivienda en vecindad</t>
  </si>
  <si>
    <t>Local no construido para habitación</t>
  </si>
  <si>
    <t>Vivienda móvil</t>
  </si>
  <si>
    <t>Refugio</t>
  </si>
  <si>
    <t>Viviendas con disponibilidad de agua por tipo de abastecimiento. 2020</t>
  </si>
  <si>
    <t>Viviendas habitadas por disponibilidad de servicios. 2020</t>
  </si>
  <si>
    <t>Energía eléctrica</t>
  </si>
  <si>
    <t>Viviendas habitadas por material del piso. 2020</t>
  </si>
  <si>
    <t>Viviendas habitadas por disponibilidad de bienes y tecnologias de la información. 2020</t>
  </si>
  <si>
    <t>Viviendas habitadas por disponibilidad de excusado. 2020</t>
  </si>
  <si>
    <t>Viviendas habitadas que disponen de excusado por forma de admisión de agua. 2020</t>
  </si>
  <si>
    <t>Tierra</t>
  </si>
  <si>
    <t>Cemento o firme</t>
  </si>
  <si>
    <t>Madera, mosaico u otro</t>
  </si>
  <si>
    <t>Refrigerador</t>
  </si>
  <si>
    <t>Lavadora</t>
  </si>
  <si>
    <t>Automóvil</t>
  </si>
  <si>
    <t>Radio</t>
  </si>
  <si>
    <t>Televisor</t>
  </si>
  <si>
    <t>Computadora</t>
  </si>
  <si>
    <t>Teléfono celular</t>
  </si>
  <si>
    <t>Internet</t>
  </si>
  <si>
    <t>No dispone</t>
  </si>
  <si>
    <t>Dispone</t>
  </si>
  <si>
    <t xml:space="preserve">Descarga directa de agua </t>
  </si>
  <si>
    <t>Le echan agua con cubeta</t>
  </si>
  <si>
    <t>No se le puede echar agua</t>
  </si>
  <si>
    <t>CASA_INDEPENDIENTE_2020</t>
  </si>
  <si>
    <t>DEPARTAMENTO_EN_EDIFICIO_2020</t>
  </si>
  <si>
    <t>VIVIENDA_EN_VECINDAD_2020</t>
  </si>
  <si>
    <t>VIVIENDA_EN_CUARTO_DE_AZOTEA_2020</t>
  </si>
  <si>
    <t>LOCAL_NO_CONSTRUIDO_PARA_HABITACIÓN_2020</t>
  </si>
  <si>
    <t>VIVIENDA_MOVIL_2020</t>
  </si>
  <si>
    <t>REFUGIO_2020</t>
  </si>
  <si>
    <t>VIVIENDA_TIPO_NO_ESPECIFICADO_2020</t>
  </si>
  <si>
    <t>Vivienda en cuarto de azotea</t>
  </si>
  <si>
    <t>VIV_OCUP_1_OCUPANTE_2020</t>
  </si>
  <si>
    <t>VIV_OCUP_2_OCUPANTE_2020</t>
  </si>
  <si>
    <t>VIV_OCUP_3_OCUPANTE_2020</t>
  </si>
  <si>
    <t>VIV_OCUP_4_OCUPANTE_2020</t>
  </si>
  <si>
    <t>VIV_OCUP_5_OCUPANTE_2020</t>
  </si>
  <si>
    <t>VIV_OCUP_6_OCUPANTE_2020</t>
  </si>
  <si>
    <t>VIV_OCUP_7_OCUPANTE_2020</t>
  </si>
  <si>
    <t>VIV_OCUP_8_OCUPANTE_2020</t>
  </si>
  <si>
    <t>VIV_OCUP_9_MÁS_OCUPANTES_2020</t>
  </si>
  <si>
    <t>Viviendas habitadas por número de ocupantes. 2020</t>
  </si>
  <si>
    <t>1 ocupante</t>
  </si>
  <si>
    <t>2 ocupantes</t>
  </si>
  <si>
    <t>3 ocupantes</t>
  </si>
  <si>
    <t>4 ocupantes</t>
  </si>
  <si>
    <t>5 ocupantes</t>
  </si>
  <si>
    <t>6 ocupantes</t>
  </si>
  <si>
    <t>7 ocupantes</t>
  </si>
  <si>
    <t>8 ocupantes</t>
  </si>
  <si>
    <t>9 ocupantes y más</t>
  </si>
  <si>
    <t>2 cuartos</t>
  </si>
  <si>
    <t>3 cuartos</t>
  </si>
  <si>
    <t>4 cuartos</t>
  </si>
  <si>
    <t>5 cuartos</t>
  </si>
  <si>
    <t>6 cuartos</t>
  </si>
  <si>
    <t>7 cuartos</t>
  </si>
  <si>
    <t>8 cuartos</t>
  </si>
  <si>
    <t>9 cuartos y más</t>
  </si>
  <si>
    <t>1 cuarto</t>
  </si>
  <si>
    <t>VIV_OCUP_1_CUARTO_2020</t>
  </si>
  <si>
    <t>VIV_OCUP_3_CUARTOS_2020</t>
  </si>
  <si>
    <t>VIV_OCUP_2_CUARTOS_2020</t>
  </si>
  <si>
    <t>VIV_OCUP_4_CUARTOS_2020</t>
  </si>
  <si>
    <t>VIV_OCUP_5_CUARTOS_2020</t>
  </si>
  <si>
    <t>VIV_OCUP_6_CUARTOS_2020</t>
  </si>
  <si>
    <t>VIV_OCUP_7_CUARTOS_2020</t>
  </si>
  <si>
    <t>VIV_OCUP_8_CUARTOS_2020</t>
  </si>
  <si>
    <t>VIV_OCUP_9_MÁS_CUARTOS_2020</t>
  </si>
  <si>
    <t>1 dormitorio</t>
  </si>
  <si>
    <t>2 dormitorios</t>
  </si>
  <si>
    <t>3 dormitorios</t>
  </si>
  <si>
    <t>4 dormitorios</t>
  </si>
  <si>
    <t>5 dormitorios y más</t>
  </si>
  <si>
    <t>VIV_OCUP_1_DORMITORIO_2020</t>
  </si>
  <si>
    <t>VIV_OCUP_2_DORMITORIOS_2020</t>
  </si>
  <si>
    <t>VIV_OCUP_3_DORMITORIOS_2020</t>
  </si>
  <si>
    <t>VIV_OCUP_4_DORMITORIOS_2020</t>
  </si>
  <si>
    <t>VIV_OCUP_5_MAS_DORMITORIOS_2020</t>
  </si>
  <si>
    <t>Viviendas habitadas por número de dormitorios. 2020</t>
  </si>
  <si>
    <t>CALIDAD Y BIENES DE LAS VIVIENDAS</t>
  </si>
  <si>
    <t>VIV_OCUP_AG_ENT_DENT_VIV_2020</t>
  </si>
  <si>
    <t>VIV_OCUP_AG_FUER_VIV_DENT_TERR_2020</t>
  </si>
  <si>
    <t>VIV_AG_LLA_PUB_2020</t>
  </si>
  <si>
    <t>VIV_AG_OT_VIV_2020</t>
  </si>
  <si>
    <t>VIV_AG_PIP_2020</t>
  </si>
  <si>
    <t>VIV_OC__RÍO_2020</t>
  </si>
  <si>
    <t>VIV_OC_DISP_EXC_2020</t>
  </si>
  <si>
    <t>VIV_OC_NO_DISP_EXC_2020</t>
  </si>
  <si>
    <t>Agua entubada</t>
  </si>
  <si>
    <t>Drenaje de red pública</t>
  </si>
  <si>
    <t>VIV_OC_PISO_TIE_2020</t>
  </si>
  <si>
    <t>VIV_OC_PISO_CEM_2020</t>
  </si>
  <si>
    <t>VIV_OC_PISO_MAD_MOS_2020</t>
  </si>
  <si>
    <t>VIV_OC_PISO_NO_ESP_2020</t>
  </si>
  <si>
    <t>VIV_OC_DISP_REFR_2020</t>
  </si>
  <si>
    <t>VIV_OC_DISP_LAV_2020</t>
  </si>
  <si>
    <t>VIV_OC_DISP_AUTO_2020</t>
  </si>
  <si>
    <t>VIV_OC_DISP_RAD_2020</t>
  </si>
  <si>
    <t>VIV_OC_DISP_TELE_2020</t>
  </si>
  <si>
    <t>VIV_OC_DISP_COMP_2020</t>
  </si>
  <si>
    <t>VIV_OC_DISP_TEL_FIJ_2020</t>
  </si>
  <si>
    <t>VIV_OC_DISP_TEL_CEL_2020</t>
  </si>
  <si>
    <t>VIV_OC_DISP_INTER_2020</t>
  </si>
  <si>
    <t>VIV_OC_DISP_EXC_DESC_AG_2020</t>
  </si>
  <si>
    <t>VIV_OC_DISP_EXC_CUB_2020</t>
  </si>
  <si>
    <t>VIV_OC_DISP_EXC_NO_ESP_2020</t>
  </si>
  <si>
    <t>VIV_OC_DISP_EXC_NO_AG_2020</t>
  </si>
  <si>
    <t>VIV_OC_DISP_ENELEC_2020</t>
  </si>
  <si>
    <t>OCUP_CASA_INDEPENDIENTE_2020</t>
  </si>
  <si>
    <t>OCUP_VIV_VECIN_2020</t>
  </si>
  <si>
    <t>OCUP_DEPAEDIF_2020</t>
  </si>
  <si>
    <t>OCUP_VIV_AZOT_2020</t>
  </si>
  <si>
    <t>OCUP_LOC_NO_CONS_HAB_2020</t>
  </si>
  <si>
    <t>OCUP_VIV_MOV_2020</t>
  </si>
  <si>
    <t>OCUP_REF_2020</t>
  </si>
  <si>
    <t>OCUP_VIV_NO_ESP_2020</t>
  </si>
  <si>
    <t>OCUP_PISO_TIE_2020</t>
  </si>
  <si>
    <t>OCUP_PISO_CEM_2020</t>
  </si>
  <si>
    <t>OCUP_PISO_MAD_MOS_2020</t>
  </si>
  <si>
    <t>OCUP_PISO_NO_ESP_2020</t>
  </si>
  <si>
    <t>OCUP_VIV_DISP_EXC_DESC_AG_2020</t>
  </si>
  <si>
    <t>OCUP_VIV_DISP_EXC_CUB_2020</t>
  </si>
  <si>
    <t>OCUP_VIV_DISP_EXC_NO_AG_2020</t>
  </si>
  <si>
    <t>OCUP_VIV_DISP_EXC_NO_ESP_2020</t>
  </si>
  <si>
    <t>OCUP_VIV_DISP_EXC_2020</t>
  </si>
  <si>
    <t>OCUP_VIV_NO_DISP_EXC_2020</t>
  </si>
  <si>
    <t>Población de 15 años y más por nivel de escolaridad. 2020</t>
  </si>
  <si>
    <t>Educación preescolar</t>
  </si>
  <si>
    <t>Educación primaria</t>
  </si>
  <si>
    <t>Estudios técnicos o comerciales con primaria terminada</t>
  </si>
  <si>
    <t>Educación superior</t>
  </si>
  <si>
    <t>Población de 15 años y más analfabetas. 2020</t>
  </si>
  <si>
    <t>Población de 6 a 14 años que saben leer y escribir. 2020</t>
  </si>
  <si>
    <t>Grado promedio de escolaridad. 2020</t>
  </si>
  <si>
    <t>Asiste a la escuela</t>
  </si>
  <si>
    <t>POB_HOM_3YMAS_ASIS_ESC_2020</t>
  </si>
  <si>
    <t>POB_MUJ_3YMAS_ASIS_ESC_2020</t>
  </si>
  <si>
    <t>Población de 3 años y más por condición de asistencia escolar, según nivel de escolaridad. 2020</t>
  </si>
  <si>
    <t>POB_HOM_6-14_LEER_Y_ESCR_2020</t>
  </si>
  <si>
    <t>POB_MUJ_6-14_LEER_Y_ESCR_2020</t>
  </si>
  <si>
    <t>POB_HOM_15_Y_MAS_ANALF_2020</t>
  </si>
  <si>
    <t>POB_MUJ_15_Y_MAS_ANALF_2020</t>
  </si>
  <si>
    <t>POB_TOT_15_Y_MAS_2020</t>
  </si>
  <si>
    <t>POB_HOM_15_Y_MAS_PREESC_2020</t>
  </si>
  <si>
    <t>POB_HOM_15_Y_MAS_PRIM_2020</t>
  </si>
  <si>
    <t>POB_HOM_15_Y_MAS_SEC_INCOM_2020</t>
  </si>
  <si>
    <t>POB_HOM_15_Y_MAS_SEC_COMP_2020</t>
  </si>
  <si>
    <t>POB_HOM_15_Y_MAS_TECN_2020</t>
  </si>
  <si>
    <t>POB_HOM_15_Y_MAS_MED_SUP_2020</t>
  </si>
  <si>
    <t>POB_HOM_15_Y_MAS_SUP_2020</t>
  </si>
  <si>
    <t>POB_MUJ_15_Y_MAS_PREESC_2020</t>
  </si>
  <si>
    <t>POB_MUJ_15_Y_MAS_PRIM_2020</t>
  </si>
  <si>
    <t>POB_MUJ_15_Y_MAS_SEC_INCOM_2020</t>
  </si>
  <si>
    <t>POB_MUJ_15_Y_MAS_SEC_COMP_2020</t>
  </si>
  <si>
    <t>POB_MUJ_15_Y_MAS_TECN_2020</t>
  </si>
  <si>
    <t>POB_MUJ_15_Y_MAS_MED_SUP_2020</t>
  </si>
  <si>
    <t>POB_MUJ_15_Y_MAS_SUP_2020</t>
  </si>
  <si>
    <t>GRA_PROM_ESC_HOM_2020</t>
  </si>
  <si>
    <t>GRA_PROM_ESC_MUJ_2020</t>
  </si>
  <si>
    <t>GRA_PROM_ESC_TOT_2020</t>
  </si>
  <si>
    <t>Población Total</t>
  </si>
  <si>
    <t>Discapacidad</t>
  </si>
  <si>
    <t>Educación</t>
  </si>
  <si>
    <t>Tamaño de Localidades</t>
  </si>
  <si>
    <t>Población Hablante de Lengua Indígena</t>
  </si>
  <si>
    <t>Salud</t>
  </si>
  <si>
    <t>Servicios en Viviendas</t>
  </si>
  <si>
    <t>Calidad de las Viviendas</t>
  </si>
  <si>
    <t>INICIO</t>
  </si>
  <si>
    <t>Hogares por número de integrantes. 2020</t>
  </si>
  <si>
    <t>PRESENTACIÓN</t>
  </si>
  <si>
    <t>Espacios de las Viviendas</t>
  </si>
  <si>
    <t>000</t>
  </si>
  <si>
    <t>Por sexo 2020</t>
  </si>
  <si>
    <t>Por lugar de nacimiento 2020</t>
  </si>
  <si>
    <t>Por tipo de localidad 2020</t>
  </si>
  <si>
    <t xml:space="preserve"> Por tipo de localidad 2010</t>
  </si>
  <si>
    <t>POB_3_Y_MAS_HAB_L_I_RUR_2010</t>
  </si>
  <si>
    <t>P_HLI_RUR_10</t>
  </si>
  <si>
    <t>P_HLI_URB_10</t>
  </si>
  <si>
    <t>POB_3_Y_MAS_HAB_L_I_URB_2010</t>
  </si>
  <si>
    <t>POB_HOM_3-4_AÑOS_HAB_L_I_2020</t>
  </si>
  <si>
    <t>LOC_2500-4999_20</t>
  </si>
  <si>
    <t>Limitación para recordar o concentrarse</t>
  </si>
  <si>
    <t>Limitación para bañarse, vestirse o comer</t>
  </si>
  <si>
    <t>PH_REC_CONCEN__20</t>
  </si>
  <si>
    <t>POB_HOM_LIM_REC_CONCEN_2020</t>
  </si>
  <si>
    <t>POB_MUJ_LIM_REC_CONCEN_2020</t>
  </si>
  <si>
    <t>PM_REC_CONCEN_20</t>
  </si>
  <si>
    <t>Bañarse, vestirse o comer</t>
  </si>
  <si>
    <t>Recordar o concentrarse</t>
  </si>
  <si>
    <t>PH_LBAÑO_20</t>
  </si>
  <si>
    <t>PM_LBAÑO_20</t>
  </si>
  <si>
    <t>POB_HOM_LIM_BAÑARSE_2020</t>
  </si>
  <si>
    <t>POB_MUJ_LIM_BAÑARSE_2020</t>
  </si>
  <si>
    <t>PDER_LBAÑO_20</t>
  </si>
  <si>
    <t>POB_DERECH_LIM_BAÑARSE_2020</t>
  </si>
  <si>
    <t>PDER_LREC_CONC_20</t>
  </si>
  <si>
    <t>POB_DERECH_LIM_RECORD_CONCEN_2020</t>
  </si>
  <si>
    <t>INSABI (Seguro popular)</t>
  </si>
  <si>
    <t>Población por condición de afiliación a servicios de salud. 2020</t>
  </si>
  <si>
    <t>Población afiliada por grupo quinquenal. 2020</t>
  </si>
  <si>
    <t>Población afiliada por tipo de institución. 2020</t>
  </si>
  <si>
    <t>Afiliada</t>
  </si>
  <si>
    <t>No afiliada</t>
  </si>
  <si>
    <t>POB_DERECH_HOMB_NOESP_2020</t>
  </si>
  <si>
    <t>Agua entubada dentro de la vivienda (del servicio público)</t>
  </si>
  <si>
    <t>VIV_PART_HAB_2020</t>
  </si>
  <si>
    <t>OCUP_VPH_2020</t>
  </si>
  <si>
    <t>Viviendas con disponibilidad de drenaje. 2020</t>
  </si>
  <si>
    <t>Línea telefónica fija</t>
  </si>
  <si>
    <t>VIV_OC_DISP_DREN_2020</t>
  </si>
  <si>
    <t>VIV_OC_NO_DISP_DREN_2020</t>
  </si>
  <si>
    <t>VIV_OC__DREN_NO_ESP_2020</t>
  </si>
  <si>
    <t>Acarreada de llave comunitaria</t>
  </si>
  <si>
    <t>Agua entubada acarreada de otra vivienda</t>
  </si>
  <si>
    <t>Agua de río, lago, arroyo u otra fuente</t>
  </si>
  <si>
    <t>VIV_AG_RIO_OTR_2020</t>
  </si>
  <si>
    <t>Educación secundaria incompleta (1 y 2 grados)</t>
  </si>
  <si>
    <t>Educación secundaria completa (3 grados)</t>
  </si>
  <si>
    <t>Educación media superior (técnicos con secundaria terminada y bachillerato)</t>
  </si>
  <si>
    <t>La suma de las actividades cotidianas puede ser mayor al total por aquellas personas que tienen más de una discapacidad.</t>
  </si>
  <si>
    <t>La suma de las actividades cotidianas puede ser mayor al total por aquellas personas que tienen más de una limitación.</t>
  </si>
  <si>
    <t>La suma de los totales puede ser mayor debido a que en este rubro se han sumado las personas con discapacidad con mucha dificultad o que no puede hacer la actividad cotidiana más las personas con limitación con poca dificultad para hacer la actividad cotidiana</t>
  </si>
  <si>
    <t>Población por tipo de discapacidad o limitación en la actividad. Por Sexo. 2020</t>
  </si>
  <si>
    <t>POB_TOT_15</t>
  </si>
  <si>
    <t>POB 3 Y MAS HLI_15</t>
  </si>
  <si>
    <t>Índice de rezago social</t>
  </si>
  <si>
    <t>Grado de rezago social</t>
  </si>
  <si>
    <t>Lugar que ocupa en el contexto nacional (orden de mayor a menor)</t>
  </si>
  <si>
    <t>Lugar que ocupa en el contexto estatal (orden de mayor a menor)</t>
  </si>
  <si>
    <t>%  de Población de 15 años o más analfabeta</t>
  </si>
  <si>
    <t>% de Población de 6 a 14 años que no asiste a la escuela</t>
  </si>
  <si>
    <t>% de Población de 15 años y más con educación básica incompleta</t>
  </si>
  <si>
    <t>% de Población sin derechohabiencia a servicios de salud</t>
  </si>
  <si>
    <t>% de Viviendas con piso de tierra</t>
  </si>
  <si>
    <t>% de Viviendas que no disponen de excusado o sanitario</t>
  </si>
  <si>
    <t>% de Viviendas que no disponen de agua entubada de la red pública</t>
  </si>
  <si>
    <t>% de Viviendas que no disponen de drenaje</t>
  </si>
  <si>
    <t>% de Viviendas que no disponen de energía eléctrica</t>
  </si>
  <si>
    <t>% de Viviendas que no disponen de lavadora</t>
  </si>
  <si>
    <t>% de Viviendas que no disponen de refrigerador</t>
  </si>
  <si>
    <t>Bajo</t>
  </si>
  <si>
    <t>Alto</t>
  </si>
  <si>
    <t>Medio</t>
  </si>
  <si>
    <t>Muy alto</t>
  </si>
  <si>
    <t>Muy bajo</t>
  </si>
  <si>
    <t>Indicadores de Rezago Social 2020. CONEVAL</t>
  </si>
  <si>
    <t>Personas con alguna discapacidad o limitación en la actividad. Por sexo. 2020</t>
  </si>
  <si>
    <t>Ocupación</t>
  </si>
  <si>
    <t>En este documento se muestran y grafican algunos de los indicadores sociodemográficos seleccionados tanto para el Estado de Chiapas como para cada uno de sus municipios que fueron publicados por el INEGI como resultado del Censo de Población y Vivienda 2020.</t>
  </si>
  <si>
    <t>Estatal</t>
  </si>
  <si>
    <t>Fuente: INEGI, Censo de Población y Vivienda 2000, 2010 y 2020. Encuesta Intercensal 2015.</t>
  </si>
  <si>
    <t>Fuente: INEGI, Censo de Población y Vivienda 2000, 2010  y 2020. Encuesta Intercensal 2015.</t>
  </si>
  <si>
    <t>POB_LOC_1-99_HAB_2020</t>
  </si>
  <si>
    <t>P_L_1-99_20</t>
  </si>
  <si>
    <t>LOC_1-99_HAB_2020</t>
  </si>
  <si>
    <t>LOC_1-99_20</t>
  </si>
  <si>
    <t>LOC_100-249_HAB_2020</t>
  </si>
  <si>
    <t>LOC_100-249_20</t>
  </si>
  <si>
    <t>P_L_100-249_20</t>
  </si>
  <si>
    <t>POB_LOC_100-249_HAB_2020</t>
  </si>
  <si>
    <t xml:space="preserve">Tamaño de localidad </t>
  </si>
  <si>
    <t>De 1 a 99 habitantes</t>
  </si>
  <si>
    <t>De 100 a 249 habitantes</t>
  </si>
  <si>
    <t>Localidades</t>
  </si>
  <si>
    <t>Número</t>
  </si>
  <si>
    <t>Porcentaje</t>
  </si>
  <si>
    <t>Educación básica</t>
  </si>
  <si>
    <t>Educación media superior</t>
  </si>
  <si>
    <t>POB_HOM_3YMAS_ASIS_ESC_BASICA_2020</t>
  </si>
  <si>
    <t>POB_HOM_3YMAS_ASIS_ESC_MED_SUP_2020</t>
  </si>
  <si>
    <t>POB_HOM_3YMAS_ASIS_ESC_SUP_2020</t>
  </si>
  <si>
    <t>POB_MUJ_3YMAS_ASIS_ESC_BASICA_2020</t>
  </si>
  <si>
    <t>POB_MUJ_3YMAS_ASIS_ESC_MED_SUP_2020</t>
  </si>
  <si>
    <t>POB_MUJ_3YMAS_ASIS_ESC_SUP_2020</t>
  </si>
  <si>
    <t>Habla español</t>
  </si>
  <si>
    <t>No habla español</t>
  </si>
  <si>
    <r>
      <t xml:space="preserve">Para facilitar la </t>
    </r>
    <r>
      <rPr>
        <b/>
        <sz val="11"/>
        <color rgb="FF595959"/>
        <rFont val="Arial"/>
        <family val="2"/>
      </rPr>
      <t>"</t>
    </r>
    <r>
      <rPr>
        <b/>
        <i/>
        <sz val="11"/>
        <color rgb="FF595959"/>
        <rFont val="Arial"/>
        <family val="2"/>
      </rPr>
      <t>navegación"</t>
    </r>
    <r>
      <rPr>
        <sz val="11"/>
        <color rgb="FF595959"/>
        <rFont val="Arial"/>
        <family val="2"/>
      </rPr>
      <t xml:space="preserve"> al interior de las hojas que lo integran, se han enlistado los títulos desplegados a continuación con su correspondiente vínculo; así mismo en cada una de las hojas temáticas se ubica en la parte superior derecha la celda con el título </t>
    </r>
    <r>
      <rPr>
        <b/>
        <i/>
        <sz val="11"/>
        <color rgb="FF595959"/>
        <rFont val="Arial"/>
        <family val="2"/>
      </rPr>
      <t>"inicio"</t>
    </r>
    <r>
      <rPr>
        <sz val="11"/>
        <color rgb="FF595959"/>
        <rFont val="Arial"/>
        <family val="2"/>
      </rPr>
      <t xml:space="preserve"> para poder regresar a la hoja </t>
    </r>
    <r>
      <rPr>
        <b/>
        <i/>
        <sz val="11"/>
        <color rgb="FF595959"/>
        <rFont val="Arial"/>
        <family val="2"/>
      </rPr>
      <t>"presentación"</t>
    </r>
    <r>
      <rPr>
        <sz val="11"/>
        <color rgb="FF595959"/>
        <rFont val="Arial"/>
        <family val="2"/>
      </rPr>
      <t>.</t>
    </r>
  </si>
  <si>
    <r>
      <t xml:space="preserve">En la hoja </t>
    </r>
    <r>
      <rPr>
        <b/>
        <i/>
        <sz val="11"/>
        <color rgb="FF595959"/>
        <rFont val="Arial"/>
        <family val="2"/>
      </rPr>
      <t>"Población total"</t>
    </r>
    <r>
      <rPr>
        <sz val="11"/>
        <color rgb="FF595959"/>
        <rFont val="Arial"/>
        <family val="2"/>
      </rPr>
      <t xml:space="preserve"> deberá ubicar la celda con el nombre del municipio y así poder seleccionar el municipio deseado o el valor Estatal, al llevar acabo esta acción se actualizarán los datos de esa y todas las demás hojas.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</si>
</sst>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3">
    <font>
      <sz val="11"/>
      <color theme="1"/>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b/>
      <sz val="18"/>
      <color theme="3"/>
      <name val="Calibri Light"/>
      <family val="2"/>
      <scheme val="major"/>
    </font>
    <font>
      <sz val="9"/>
      <color theme="1"/>
      <name val="Gotham Medium"/>
      <family val="3"/>
    </font>
    <font>
      <b/>
      <sz val="9"/>
      <color theme="0"/>
      <name val="Gotham Medium"/>
      <family val="3"/>
    </font>
    <font>
      <sz val="9"/>
      <color theme="1"/>
      <name val="Gotham Book"/>
      <family val="3"/>
    </font>
    <font>
      <b/>
      <sz val="9"/>
      <color theme="0"/>
      <name val="Gotham Book"/>
      <family val="3"/>
    </font>
    <font>
      <sz val="9"/>
      <color theme="0"/>
      <name val="Gotham Medium"/>
      <family val="3"/>
    </font>
    <font>
      <sz val="9"/>
      <color theme="0"/>
      <name val="Gotham Book"/>
      <family val="3"/>
    </font>
    <font>
      <b/>
      <sz val="10"/>
      <color theme="0"/>
      <name val="Gotham Book"/>
      <family val="3"/>
    </font>
    <font>
      <sz val="10"/>
      <color theme="1"/>
      <name val="Gotham Book"/>
      <family val="3"/>
    </font>
    <font>
      <sz val="9"/>
      <color rgb="FF595959"/>
      <name val="Gotham Book"/>
      <family val="3"/>
    </font>
    <font>
      <sz val="9"/>
      <color rgb="FF595959"/>
      <name val="Gotham Medium"/>
      <family val="3"/>
    </font>
    <font>
      <b/>
      <sz val="9"/>
      <color rgb="FF595959"/>
      <name val="Gotham Book"/>
      <family val="3"/>
    </font>
    <font>
      <b/>
      <vertAlign val="superscript"/>
      <sz val="9"/>
      <color theme="0"/>
      <name val="Gotham Book"/>
      <family val="3"/>
    </font>
    <font>
      <sz val="11"/>
      <color rgb="FF595959"/>
      <name val="Gotham Book"/>
      <family val="3"/>
    </font>
    <font>
      <sz val="10"/>
      <color theme="0"/>
      <name val="Gotham Book"/>
      <family val="3"/>
    </font>
    <font>
      <u/>
      <sz val="14"/>
      <color rgb="FF595959"/>
      <name val="Gotham Bold"/>
      <family val="3"/>
    </font>
    <font>
      <sz val="10"/>
      <color rgb="FFFF0000"/>
      <name val="Gotham Book"/>
      <family val="3"/>
    </font>
    <font>
      <sz val="9"/>
      <color rgb="FFFF0000"/>
      <name val="Gotham Book"/>
      <family val="3"/>
    </font>
    <font>
      <b/>
      <sz val="9"/>
      <color rgb="FFFF0000"/>
      <name val="Gotham Book"/>
      <family val="3"/>
    </font>
    <font>
      <b/>
      <sz val="9"/>
      <color rgb="FFCC3300"/>
      <name val="Gotham Book"/>
      <family val="3"/>
    </font>
    <font>
      <sz val="9"/>
      <color rgb="FFCC3300"/>
      <name val="Gotham Book"/>
      <family val="3"/>
    </font>
    <font>
      <sz val="9"/>
      <name val="Gotham Medium"/>
      <family val="3"/>
    </font>
    <font>
      <sz val="14"/>
      <color rgb="FF595959"/>
      <name val="Arial"/>
      <family val="2"/>
    </font>
    <font>
      <sz val="11"/>
      <color rgb="FF595959"/>
      <name val="Arial"/>
      <family val="2"/>
    </font>
    <font>
      <b/>
      <sz val="11"/>
      <color rgb="FF595959"/>
      <name val="Arial"/>
      <family val="2"/>
    </font>
    <font>
      <b/>
      <i/>
      <sz val="11"/>
      <color rgb="FF595959"/>
      <name val="Arial"/>
      <family val="2"/>
    </font>
    <font>
      <u/>
      <sz val="14"/>
      <color theme="0"/>
      <name val="Arial"/>
      <family val="2"/>
    </font>
    <font>
      <u/>
      <sz val="14"/>
      <color rgb="FF595959"/>
      <name val="Arial"/>
      <family val="2"/>
    </font>
    <font>
      <b/>
      <sz val="14"/>
      <color rgb="FF595959"/>
      <name val="Arial"/>
      <family val="2"/>
    </font>
    <font>
      <sz val="9"/>
      <color theme="1"/>
      <name val="Arial"/>
      <family val="2"/>
    </font>
    <font>
      <u/>
      <sz val="12"/>
      <color rgb="FF595959"/>
      <name val="Arial"/>
      <family val="2"/>
    </font>
    <font>
      <b/>
      <sz val="12"/>
      <color rgb="FF595959"/>
      <name val="Arial"/>
      <family val="2"/>
    </font>
    <font>
      <sz val="10"/>
      <color rgb="FF595959"/>
      <name val="Arial"/>
      <family val="2"/>
    </font>
    <font>
      <sz val="12"/>
      <color rgb="FF595959"/>
      <name val="Arial"/>
      <family val="2"/>
    </font>
    <font>
      <b/>
      <sz val="14"/>
      <name val="Arial"/>
      <family val="2"/>
    </font>
    <font>
      <sz val="12"/>
      <color theme="0"/>
      <name val="Arial"/>
      <family val="2"/>
    </font>
    <font>
      <sz val="10"/>
      <color theme="1"/>
      <name val="Arial"/>
      <family val="2"/>
    </font>
    <font>
      <sz val="8"/>
      <color rgb="FF595959"/>
      <name val="Arial"/>
      <family val="2"/>
    </font>
    <font>
      <b/>
      <sz val="12"/>
      <name val="Arial"/>
      <family val="2"/>
    </font>
    <font>
      <sz val="10"/>
      <color theme="0"/>
      <name val="Arial"/>
      <family val="2"/>
    </font>
    <font>
      <sz val="10"/>
      <color rgb="FF555555"/>
      <name val="Arial"/>
      <family val="2"/>
    </font>
    <font>
      <sz val="9"/>
      <color rgb="FF595959"/>
      <name val="Arial"/>
      <family val="2"/>
    </font>
    <font>
      <b/>
      <sz val="11"/>
      <color theme="0"/>
      <name val="Arial"/>
      <family val="2"/>
    </font>
    <font>
      <b/>
      <sz val="10"/>
      <color theme="1"/>
      <name val="Arial"/>
      <family val="2"/>
    </font>
    <font>
      <b/>
      <sz val="10"/>
      <color theme="0"/>
      <name val="Arial"/>
      <family val="2"/>
    </font>
    <font>
      <b/>
      <sz val="9"/>
      <color theme="1"/>
      <name val="Arial"/>
      <family val="2"/>
    </font>
    <font>
      <sz val="11"/>
      <color theme="0"/>
      <name val="Arial"/>
      <family val="2"/>
    </font>
    <font>
      <sz val="7"/>
      <color rgb="FF595959"/>
      <name val="Arial"/>
      <family val="2"/>
    </font>
    <font>
      <b/>
      <sz val="10"/>
      <color rgb="FF595959"/>
      <name val="Arial"/>
      <family val="2"/>
    </font>
    <font>
      <sz val="8"/>
      <color theme="1"/>
      <name val="Arial"/>
      <family val="2"/>
    </font>
    <font>
      <b/>
      <sz val="9"/>
      <color rgb="FF595959"/>
      <name val="Arial"/>
      <family val="2"/>
    </font>
    <font>
      <sz val="10"/>
      <color rgb="FFCC3300"/>
      <name val="Arial"/>
      <family val="2"/>
    </font>
    <font>
      <b/>
      <sz val="9"/>
      <color theme="0"/>
      <name val="Arial"/>
      <family val="2"/>
    </font>
    <font>
      <sz val="9"/>
      <color theme="0"/>
      <name val="Arial"/>
      <family val="2"/>
    </font>
    <font>
      <b/>
      <sz val="8"/>
      <color rgb="FF595959"/>
      <name val="Arial"/>
      <family val="2"/>
    </font>
  </fonts>
  <fills count="48">
    <fill>
      <patternFill patternType="none"/>
    </fill>
    <fill>
      <patternFill patternType="gray125"/>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00B050"/>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5"/>
        <bgColor indexed="64"/>
      </patternFill>
    </fill>
    <fill>
      <patternFill patternType="solid">
        <fgColor rgb="FF009885"/>
        <bgColor indexed="64"/>
      </patternFill>
    </fill>
    <fill>
      <patternFill patternType="solid">
        <fgColor rgb="FFD3C2B4"/>
        <bgColor indexed="64"/>
      </patternFill>
    </fill>
  </fills>
  <borders count="54">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9"/>
      </left>
      <right style="thin">
        <color indexed="9"/>
      </right>
      <top/>
      <bottom style="thin">
        <color indexed="9"/>
      </bottom>
      <diagonal/>
    </border>
    <border>
      <left style="thin">
        <color rgb="FFE0E0E0"/>
      </left>
      <right style="thin">
        <color rgb="FFE0E0E0"/>
      </right>
      <top style="thin">
        <color rgb="FFE0E0E0"/>
      </top>
      <bottom style="thin">
        <color indexed="9"/>
      </bottom>
      <diagonal/>
    </border>
    <border>
      <left style="medium">
        <color indexed="64"/>
      </left>
      <right style="thin">
        <color rgb="FFE0E0E0"/>
      </right>
      <top style="thin">
        <color rgb="FFE0E0E0"/>
      </top>
      <bottom style="thin">
        <color indexed="9"/>
      </bottom>
      <diagonal/>
    </border>
    <border>
      <left style="medium">
        <color indexed="64"/>
      </left>
      <right/>
      <top style="medium">
        <color indexed="64"/>
      </top>
      <bottom style="thin">
        <color rgb="FFE0E0E0"/>
      </bottom>
      <diagonal/>
    </border>
    <border>
      <left/>
      <right/>
      <top style="medium">
        <color indexed="64"/>
      </top>
      <bottom style="thin">
        <color rgb="FFE0E0E0"/>
      </bottom>
      <diagonal/>
    </border>
    <border>
      <left/>
      <right style="medium">
        <color indexed="64"/>
      </right>
      <top style="medium">
        <color indexed="64"/>
      </top>
      <bottom style="thin">
        <color rgb="FFE0E0E0"/>
      </bottom>
      <diagonal/>
    </border>
    <border>
      <left style="thin">
        <color rgb="FFE0E0E0"/>
      </left>
      <right style="medium">
        <color indexed="64"/>
      </right>
      <top style="thin">
        <color rgb="FFE0E0E0"/>
      </top>
      <bottom style="thin">
        <color indexed="9"/>
      </bottom>
      <diagonal/>
    </border>
    <border>
      <left style="medium">
        <color rgb="FF333333"/>
      </left>
      <right/>
      <top style="medium">
        <color rgb="FF333333"/>
      </top>
      <bottom/>
      <diagonal/>
    </border>
    <border>
      <left/>
      <right/>
      <top style="medium">
        <color rgb="FF333333"/>
      </top>
      <bottom/>
      <diagonal/>
    </border>
    <border>
      <left/>
      <right style="medium">
        <color rgb="FF333333"/>
      </right>
      <top style="medium">
        <color rgb="FF333333"/>
      </top>
      <bottom/>
      <diagonal/>
    </border>
    <border>
      <left style="medium">
        <color rgb="FF333333"/>
      </left>
      <right/>
      <top/>
      <bottom/>
      <diagonal/>
    </border>
    <border>
      <left/>
      <right style="medium">
        <color rgb="FF333333"/>
      </right>
      <top/>
      <bottom/>
      <diagonal/>
    </border>
    <border>
      <left style="medium">
        <color rgb="FF333333"/>
      </left>
      <right/>
      <top/>
      <bottom style="medium">
        <color rgb="FF333333"/>
      </bottom>
      <diagonal/>
    </border>
    <border>
      <left/>
      <right/>
      <top/>
      <bottom style="medium">
        <color rgb="FF333333"/>
      </bottom>
      <diagonal/>
    </border>
    <border>
      <left/>
      <right style="medium">
        <color rgb="FF333333"/>
      </right>
      <top/>
      <bottom style="medium">
        <color rgb="FF33333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style="medium">
        <color indexed="64"/>
      </top>
      <bottom style="medium">
        <color rgb="FFFFFFFF"/>
      </bottom>
      <diagonal/>
    </border>
    <border>
      <left style="medium">
        <color indexed="64"/>
      </left>
      <right/>
      <top style="thin">
        <color rgb="FFE0E0E0"/>
      </top>
      <bottom/>
      <diagonal/>
    </border>
    <border>
      <left style="thin">
        <color indexed="9"/>
      </left>
      <right style="thin">
        <color indexed="9"/>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s>
  <cellStyleXfs count="42">
    <xf numFmtId="0" fontId="0" fillId="0" borderId="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4" borderId="3" applyNumberFormat="0" applyAlignment="0" applyProtection="0"/>
    <xf numFmtId="0" fontId="6" fillId="5" borderId="4" applyNumberFormat="0" applyAlignment="0" applyProtection="0"/>
    <xf numFmtId="0" fontId="7" fillId="5" borderId="3" applyNumberFormat="0" applyAlignment="0" applyProtection="0"/>
    <xf numFmtId="0" fontId="8" fillId="0" borderId="5" applyNumberFormat="0" applyFill="0" applyAlignment="0" applyProtection="0"/>
    <xf numFmtId="0" fontId="9" fillId="6" borderId="6" applyNumberFormat="0" applyAlignment="0" applyProtection="0"/>
    <xf numFmtId="0" fontId="10" fillId="0" borderId="0" applyNumberFormat="0" applyFill="0" applyBorder="0" applyAlignment="0" applyProtection="0"/>
    <xf numFmtId="0" fontId="1" fillId="7" borderId="7" applyNumberFormat="0" applyFont="0" applyAlignment="0" applyProtection="0"/>
    <xf numFmtId="0" fontId="11" fillId="0" borderId="0" applyNumberFormat="0" applyFill="0" applyBorder="0" applyAlignment="0" applyProtection="0"/>
    <xf numFmtId="0" fontId="12" fillId="0" borderId="8" applyNumberFormat="0" applyFill="0" applyAlignment="0" applyProtection="0"/>
    <xf numFmtId="0" fontId="13"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0" borderId="0" applyNumberFormat="0" applyFill="0" applyBorder="0" applyAlignment="0" applyProtection="0"/>
  </cellStyleXfs>
  <cellXfs count="351">
    <xf numFmtId="0" fontId="0" fillId="0" borderId="0" xfId="0"/>
    <xf numFmtId="0" fontId="19" fillId="0" borderId="0" xfId="0" applyFont="1" applyAlignment="1">
      <alignment horizontal="center" vertical="center"/>
    </xf>
    <xf numFmtId="0" fontId="19" fillId="0" borderId="0" xfId="0" applyFont="1"/>
    <xf numFmtId="0" fontId="0" fillId="0" borderId="0" xfId="0" applyAlignment="1">
      <alignment wrapText="1"/>
    </xf>
    <xf numFmtId="0" fontId="21" fillId="34" borderId="0" xfId="0" applyFont="1" applyFill="1" applyAlignment="1">
      <alignment horizontal="center" vertical="center"/>
    </xf>
    <xf numFmtId="0" fontId="21" fillId="34" borderId="0" xfId="0" applyFont="1" applyFill="1" applyAlignment="1">
      <alignment horizontal="left" vertical="center"/>
    </xf>
    <xf numFmtId="0" fontId="24" fillId="34" borderId="0" xfId="0" applyFont="1" applyFill="1" applyAlignment="1">
      <alignment horizontal="center" vertical="center"/>
    </xf>
    <xf numFmtId="3" fontId="24" fillId="34" borderId="0" xfId="0" applyNumberFormat="1" applyFont="1" applyFill="1" applyAlignment="1">
      <alignment horizontal="center" vertical="center"/>
    </xf>
    <xf numFmtId="16" fontId="24" fillId="34" borderId="0" xfId="0" applyNumberFormat="1" applyFont="1" applyFill="1" applyAlignment="1">
      <alignment horizontal="center" vertical="center"/>
    </xf>
    <xf numFmtId="17" fontId="24" fillId="34" borderId="0" xfId="0" applyNumberFormat="1" applyFont="1" applyFill="1" applyAlignment="1">
      <alignment horizontal="center" vertical="center"/>
    </xf>
    <xf numFmtId="0" fontId="0" fillId="35" borderId="0" xfId="0" applyFill="1" applyAlignment="1">
      <alignment wrapText="1"/>
    </xf>
    <xf numFmtId="0" fontId="19" fillId="34" borderId="0" xfId="0" applyFont="1" applyFill="1" applyAlignment="1">
      <alignment horizontal="center" vertical="center"/>
    </xf>
    <xf numFmtId="0" fontId="19" fillId="34" borderId="0" xfId="0" applyFont="1" applyFill="1"/>
    <xf numFmtId="0" fontId="0" fillId="36" borderId="0" xfId="0" applyFill="1" applyAlignment="1">
      <alignment wrapText="1"/>
    </xf>
    <xf numFmtId="0" fontId="23" fillId="34" borderId="0" xfId="0" applyFont="1" applyFill="1" applyAlignment="1">
      <alignment horizontal="center" vertical="center"/>
    </xf>
    <xf numFmtId="0" fontId="23" fillId="34" borderId="0" xfId="0" applyFont="1" applyFill="1"/>
    <xf numFmtId="3" fontId="23" fillId="34" borderId="0" xfId="0" applyNumberFormat="1" applyFont="1" applyFill="1" applyAlignment="1">
      <alignment horizontal="center" vertical="center"/>
    </xf>
    <xf numFmtId="0" fontId="20" fillId="34" borderId="0" xfId="0" applyFont="1" applyFill="1" applyAlignment="1">
      <alignment horizontal="right" vertical="center" wrapText="1"/>
    </xf>
    <xf numFmtId="10" fontId="23" fillId="34" borderId="0" xfId="0" applyNumberFormat="1" applyFont="1" applyFill="1" applyAlignment="1">
      <alignment horizontal="center" vertical="center"/>
    </xf>
    <xf numFmtId="0" fontId="19" fillId="34" borderId="0" xfId="0" applyFont="1" applyFill="1" applyAlignment="1">
      <alignment wrapText="1"/>
    </xf>
    <xf numFmtId="0" fontId="27" fillId="34" borderId="0" xfId="0" applyFont="1" applyFill="1"/>
    <xf numFmtId="0" fontId="0" fillId="37" borderId="0" xfId="0" applyFill="1" applyAlignment="1">
      <alignment wrapText="1"/>
    </xf>
    <xf numFmtId="0" fontId="28" fillId="34" borderId="0" xfId="0" applyFont="1" applyFill="1"/>
    <xf numFmtId="0" fontId="0" fillId="38" borderId="0" xfId="0" applyFill="1" applyAlignment="1">
      <alignment wrapText="1"/>
    </xf>
    <xf numFmtId="2" fontId="29" fillId="34" borderId="0" xfId="0" applyNumberFormat="1" applyFont="1" applyFill="1" applyAlignment="1">
      <alignment vertical="center" wrapText="1"/>
    </xf>
    <xf numFmtId="0" fontId="0" fillId="39" borderId="0" xfId="0" applyFill="1" applyAlignment="1">
      <alignment wrapText="1"/>
    </xf>
    <xf numFmtId="2" fontId="0" fillId="0" borderId="0" xfId="0" applyNumberFormat="1"/>
    <xf numFmtId="2" fontId="24" fillId="34" borderId="0" xfId="0" applyNumberFormat="1" applyFont="1" applyFill="1"/>
    <xf numFmtId="1" fontId="0" fillId="0" borderId="0" xfId="0" applyNumberFormat="1"/>
    <xf numFmtId="0" fontId="31" fillId="34" borderId="0" xfId="0" applyFont="1" applyFill="1"/>
    <xf numFmtId="0" fontId="27" fillId="34" borderId="0" xfId="0" applyFont="1" applyFill="1" applyAlignment="1">
      <alignment vertical="center"/>
    </xf>
    <xf numFmtId="0" fontId="29" fillId="34" borderId="0" xfId="0" applyFont="1" applyFill="1" applyAlignment="1">
      <alignment horizontal="center" vertical="center" wrapText="1"/>
    </xf>
    <xf numFmtId="0" fontId="27" fillId="34" borderId="0" xfId="0" applyFont="1" applyFill="1" applyAlignment="1">
      <alignment horizontal="center" vertical="center"/>
    </xf>
    <xf numFmtId="0" fontId="31" fillId="34" borderId="44" xfId="0" applyFont="1" applyFill="1" applyBorder="1"/>
    <xf numFmtId="0" fontId="27" fillId="34" borderId="44" xfId="0" applyFont="1" applyFill="1" applyBorder="1" applyAlignment="1">
      <alignment vertical="center"/>
    </xf>
    <xf numFmtId="0" fontId="24" fillId="34" borderId="0" xfId="0" applyFont="1" applyFill="1"/>
    <xf numFmtId="0" fontId="24" fillId="34" borderId="0" xfId="0" applyFont="1" applyFill="1" applyAlignment="1">
      <alignment horizontal="center" vertical="center" wrapText="1"/>
    </xf>
    <xf numFmtId="0" fontId="24" fillId="34" borderId="0" xfId="0" applyFont="1" applyFill="1" applyAlignment="1">
      <alignment vertical="center" wrapText="1"/>
    </xf>
    <xf numFmtId="10" fontId="24" fillId="34" borderId="0" xfId="0" applyNumberFormat="1" applyFont="1" applyFill="1" applyAlignment="1">
      <alignment horizontal="center" vertical="center"/>
    </xf>
    <xf numFmtId="0" fontId="26" fillId="34" borderId="0" xfId="0" applyFont="1" applyFill="1"/>
    <xf numFmtId="0" fontId="26" fillId="0" borderId="0" xfId="0" applyFont="1" applyAlignment="1">
      <alignment horizontal="center" vertical="center"/>
    </xf>
    <xf numFmtId="0" fontId="26" fillId="34" borderId="0" xfId="0" applyFont="1" applyFill="1" applyAlignment="1">
      <alignment horizontal="center" vertical="center"/>
    </xf>
    <xf numFmtId="3" fontId="23" fillId="34" borderId="0" xfId="0" applyNumberFormat="1" applyFont="1" applyFill="1"/>
    <xf numFmtId="10" fontId="23" fillId="34" borderId="0" xfId="0" applyNumberFormat="1" applyFont="1" applyFill="1"/>
    <xf numFmtId="164" fontId="0" fillId="0" borderId="0" xfId="0" applyNumberFormat="1"/>
    <xf numFmtId="0" fontId="0" fillId="39" borderId="0" xfId="0" applyFill="1"/>
    <xf numFmtId="0" fontId="0" fillId="40" borderId="0" xfId="0" applyFill="1" applyAlignment="1">
      <alignment wrapText="1"/>
    </xf>
    <xf numFmtId="0" fontId="0" fillId="41" borderId="0" xfId="0" applyFill="1" applyAlignment="1">
      <alignment wrapText="1"/>
    </xf>
    <xf numFmtId="0" fontId="0" fillId="42" borderId="0" xfId="0" applyFill="1" applyAlignment="1">
      <alignment wrapText="1"/>
    </xf>
    <xf numFmtId="0" fontId="0" fillId="43" borderId="0" xfId="0" applyFill="1" applyAlignment="1">
      <alignment wrapText="1"/>
    </xf>
    <xf numFmtId="0" fontId="0" fillId="44" borderId="0" xfId="0" applyFill="1" applyAlignment="1">
      <alignment wrapText="1"/>
    </xf>
    <xf numFmtId="0" fontId="0" fillId="45" borderId="0" xfId="0" applyFill="1" applyAlignment="1">
      <alignment wrapText="1"/>
    </xf>
    <xf numFmtId="0" fontId="32" fillId="34" borderId="0" xfId="0" applyFont="1" applyFill="1" applyAlignment="1">
      <alignment horizontal="center" vertical="center"/>
    </xf>
    <xf numFmtId="0" fontId="33" fillId="34" borderId="0" xfId="38" applyFont="1" applyFill="1" applyAlignment="1">
      <alignment vertical="center"/>
    </xf>
    <xf numFmtId="0" fontId="0" fillId="43" borderId="0" xfId="0" applyFill="1"/>
    <xf numFmtId="0" fontId="0" fillId="0" borderId="0" xfId="0" applyAlignment="1">
      <alignment horizontal="center" vertical="center" wrapText="1"/>
    </xf>
    <xf numFmtId="2" fontId="22" fillId="34" borderId="0" xfId="0" applyNumberFormat="1" applyFont="1" applyFill="1" applyAlignment="1">
      <alignment horizontal="center" vertical="center" wrapText="1"/>
    </xf>
    <xf numFmtId="0" fontId="35" fillId="34" borderId="0" xfId="0" applyFont="1" applyFill="1"/>
    <xf numFmtId="2" fontId="36" fillId="34" borderId="0" xfId="0" applyNumberFormat="1" applyFont="1" applyFill="1" applyAlignment="1">
      <alignment vertical="center" wrapText="1"/>
    </xf>
    <xf numFmtId="2" fontId="22" fillId="34" borderId="0" xfId="0" applyNumberFormat="1" applyFont="1" applyFill="1" applyAlignment="1">
      <alignment vertical="center" wrapText="1"/>
    </xf>
    <xf numFmtId="0" fontId="22" fillId="34" borderId="0" xfId="0" applyFont="1" applyFill="1" applyAlignment="1">
      <alignment horizontal="center" vertical="center" wrapText="1"/>
    </xf>
    <xf numFmtId="0" fontId="34" fillId="34" borderId="0" xfId="0" applyFont="1" applyFill="1"/>
    <xf numFmtId="0" fontId="34" fillId="34" borderId="0" xfId="0" applyFont="1" applyFill="1" applyAlignment="1">
      <alignment horizontal="center" vertical="center"/>
    </xf>
    <xf numFmtId="0" fontId="38" fillId="34" borderId="0" xfId="0" applyFont="1" applyFill="1"/>
    <xf numFmtId="0" fontId="32" fillId="34" borderId="0" xfId="0" applyFont="1" applyFill="1"/>
    <xf numFmtId="3" fontId="32" fillId="34" borderId="0" xfId="0" applyNumberFormat="1" applyFont="1" applyFill="1" applyAlignment="1">
      <alignment horizontal="center" vertical="center"/>
    </xf>
    <xf numFmtId="0" fontId="32" fillId="34" borderId="0" xfId="0" applyFont="1" applyFill="1" applyAlignment="1">
      <alignment horizontal="left" vertical="center" wrapText="1"/>
    </xf>
    <xf numFmtId="10" fontId="32" fillId="34" borderId="0" xfId="0" applyNumberFormat="1" applyFont="1" applyFill="1" applyAlignment="1">
      <alignment horizontal="center" vertical="center"/>
    </xf>
    <xf numFmtId="0" fontId="39" fillId="34" borderId="0" xfId="0" applyFont="1" applyFill="1"/>
    <xf numFmtId="0" fontId="40" fillId="34" borderId="0" xfId="0" applyFont="1" applyFill="1"/>
    <xf numFmtId="0" fontId="41" fillId="34" borderId="0" xfId="0" applyFont="1" applyFill="1"/>
    <xf numFmtId="0" fontId="40" fillId="34" borderId="0" xfId="0" applyFont="1" applyFill="1" applyAlignment="1">
      <alignment horizontal="left" vertical="center"/>
    </xf>
    <xf numFmtId="0" fontId="46" fillId="34" borderId="0" xfId="0" applyFont="1" applyFill="1" applyAlignment="1">
      <alignment vertical="center"/>
    </xf>
    <xf numFmtId="0" fontId="47" fillId="34" borderId="0" xfId="0" applyFont="1" applyFill="1" applyAlignment="1">
      <alignment vertical="center"/>
    </xf>
    <xf numFmtId="0" fontId="47" fillId="34" borderId="0" xfId="0" applyFont="1" applyFill="1" applyAlignment="1">
      <alignment horizontal="center" vertical="center"/>
    </xf>
    <xf numFmtId="0" fontId="47" fillId="34" borderId="0" xfId="0" applyFont="1" applyFill="1" applyAlignment="1">
      <alignment horizontal="left" vertical="center"/>
    </xf>
    <xf numFmtId="0" fontId="48" fillId="34" borderId="0" xfId="38" applyFont="1" applyFill="1" applyAlignment="1">
      <alignment horizontal="left" vertical="center"/>
    </xf>
    <xf numFmtId="0" fontId="49" fillId="34" borderId="0" xfId="0" applyFont="1" applyFill="1" applyAlignment="1">
      <alignment horizontal="left" vertical="center"/>
    </xf>
    <xf numFmtId="0" fontId="51" fillId="34" borderId="0" xfId="0" applyFont="1" applyFill="1" applyAlignment="1">
      <alignment horizontal="right" vertical="center"/>
    </xf>
    <xf numFmtId="0" fontId="46" fillId="47" borderId="0" xfId="0" applyFont="1" applyFill="1" applyAlignment="1">
      <alignment horizontal="left" vertical="center"/>
    </xf>
    <xf numFmtId="0" fontId="52" fillId="47" borderId="0" xfId="0" applyFont="1" applyFill="1" applyAlignment="1">
      <alignment vertical="center"/>
    </xf>
    <xf numFmtId="0" fontId="47" fillId="47" borderId="0" xfId="0" applyFont="1" applyFill="1" applyAlignment="1">
      <alignment horizontal="left" vertical="center"/>
    </xf>
    <xf numFmtId="0" fontId="54" fillId="32" borderId="12" xfId="0" applyFont="1" applyFill="1" applyBorder="1" applyAlignment="1">
      <alignment horizontal="center" vertical="center"/>
    </xf>
    <xf numFmtId="3" fontId="54" fillId="32" borderId="0" xfId="0" applyNumberFormat="1" applyFont="1" applyFill="1" applyAlignment="1">
      <alignment horizontal="center" vertical="center"/>
    </xf>
    <xf numFmtId="0" fontId="54" fillId="32" borderId="13" xfId="0" applyFont="1" applyFill="1" applyBorder="1" applyAlignment="1">
      <alignment horizontal="center" vertical="center"/>
    </xf>
    <xf numFmtId="0" fontId="54" fillId="34" borderId="12" xfId="0" applyFont="1" applyFill="1" applyBorder="1" applyAlignment="1">
      <alignment horizontal="center" vertical="center"/>
    </xf>
    <xf numFmtId="3" fontId="47" fillId="34" borderId="0" xfId="0" applyNumberFormat="1" applyFont="1" applyFill="1" applyAlignment="1">
      <alignment horizontal="center" vertical="center"/>
    </xf>
    <xf numFmtId="0" fontId="54" fillId="34" borderId="13" xfId="0" applyFont="1" applyFill="1" applyBorder="1" applyAlignment="1">
      <alignment horizontal="center" vertical="center"/>
    </xf>
    <xf numFmtId="3" fontId="54" fillId="34" borderId="0" xfId="0" applyNumberFormat="1" applyFont="1" applyFill="1" applyAlignment="1">
      <alignment horizontal="center" vertical="center"/>
    </xf>
    <xf numFmtId="2" fontId="54" fillId="34" borderId="15" xfId="0" applyNumberFormat="1" applyFont="1" applyFill="1" applyBorder="1" applyAlignment="1">
      <alignment horizontal="center" vertical="center"/>
    </xf>
    <xf numFmtId="0" fontId="54" fillId="34" borderId="16" xfId="0" applyFont="1" applyFill="1" applyBorder="1" applyAlignment="1">
      <alignment horizontal="center" vertical="center"/>
    </xf>
    <xf numFmtId="0" fontId="54" fillId="32" borderId="30" xfId="0" applyFont="1" applyFill="1" applyBorder="1" applyAlignment="1">
      <alignment horizontal="left" vertical="center"/>
    </xf>
    <xf numFmtId="10" fontId="54" fillId="32" borderId="31" xfId="0" applyNumberFormat="1" applyFont="1" applyFill="1" applyBorder="1" applyAlignment="1">
      <alignment horizontal="center" vertical="center"/>
    </xf>
    <xf numFmtId="0" fontId="54" fillId="34" borderId="30" xfId="0" applyFont="1" applyFill="1" applyBorder="1" applyAlignment="1">
      <alignment horizontal="left" vertical="center"/>
    </xf>
    <xf numFmtId="10" fontId="54" fillId="34" borderId="31" xfId="0" applyNumberFormat="1" applyFont="1" applyFill="1" applyBorder="1" applyAlignment="1">
      <alignment horizontal="center" vertical="center"/>
    </xf>
    <xf numFmtId="2" fontId="54" fillId="32" borderId="34" xfId="0" applyNumberFormat="1" applyFont="1" applyFill="1" applyBorder="1" applyAlignment="1">
      <alignment horizontal="center" vertical="center"/>
    </xf>
    <xf numFmtId="0" fontId="54" fillId="34" borderId="12" xfId="0" applyFont="1" applyFill="1" applyBorder="1" applyAlignment="1">
      <alignment horizontal="left" vertical="center"/>
    </xf>
    <xf numFmtId="10" fontId="54" fillId="34" borderId="13" xfId="0" applyNumberFormat="1" applyFont="1" applyFill="1" applyBorder="1" applyAlignment="1">
      <alignment horizontal="center" vertical="center"/>
    </xf>
    <xf numFmtId="0" fontId="54" fillId="32" borderId="14" xfId="0" applyFont="1" applyFill="1" applyBorder="1" applyAlignment="1">
      <alignment horizontal="left" vertical="center"/>
    </xf>
    <xf numFmtId="3" fontId="54" fillId="32" borderId="15" xfId="0" applyNumberFormat="1" applyFont="1" applyFill="1" applyBorder="1" applyAlignment="1">
      <alignment horizontal="center" vertical="center"/>
    </xf>
    <xf numFmtId="10" fontId="54" fillId="32" borderId="16" xfId="0" applyNumberFormat="1" applyFont="1" applyFill="1" applyBorder="1" applyAlignment="1">
      <alignment horizontal="center" vertical="center"/>
    </xf>
    <xf numFmtId="3" fontId="54" fillId="34" borderId="33" xfId="0" applyNumberFormat="1" applyFont="1" applyFill="1" applyBorder="1" applyAlignment="1">
      <alignment horizontal="center" vertical="center"/>
    </xf>
    <xf numFmtId="10" fontId="54" fillId="34" borderId="34" xfId="0" applyNumberFormat="1" applyFont="1" applyFill="1" applyBorder="1" applyAlignment="1">
      <alignment horizontal="center" vertical="center"/>
    </xf>
    <xf numFmtId="0" fontId="54" fillId="34" borderId="0" xfId="0" applyFont="1" applyFill="1"/>
    <xf numFmtId="0" fontId="49" fillId="34" borderId="0" xfId="0" applyFont="1" applyFill="1"/>
    <xf numFmtId="0" fontId="55" fillId="34" borderId="0" xfId="0" applyFont="1" applyFill="1" applyAlignment="1">
      <alignment horizontal="left" vertical="center" wrapText="1"/>
    </xf>
    <xf numFmtId="0" fontId="55" fillId="34" borderId="0" xfId="0" applyFont="1" applyFill="1" applyAlignment="1">
      <alignment vertical="center" wrapText="1"/>
    </xf>
    <xf numFmtId="0" fontId="56" fillId="47" borderId="0" xfId="0" applyFont="1" applyFill="1" applyAlignment="1">
      <alignment vertical="center"/>
    </xf>
    <xf numFmtId="0" fontId="54" fillId="47" borderId="0" xfId="0" applyFont="1" applyFill="1"/>
    <xf numFmtId="0" fontId="54" fillId="0" borderId="0" xfId="0" applyFont="1" applyAlignment="1">
      <alignment horizontal="center" vertical="center"/>
    </xf>
    <xf numFmtId="0" fontId="58" fillId="34" borderId="17" xfId="0" applyFont="1" applyFill="1" applyBorder="1" applyAlignment="1">
      <alignment horizontal="left" vertical="center" wrapText="1" indent="1"/>
    </xf>
    <xf numFmtId="3" fontId="54" fillId="34" borderId="18" xfId="0" applyNumberFormat="1" applyFont="1" applyFill="1" applyBorder="1" applyAlignment="1">
      <alignment horizontal="center" vertical="center"/>
    </xf>
    <xf numFmtId="0" fontId="54" fillId="34" borderId="19" xfId="0" applyFont="1" applyFill="1" applyBorder="1" applyAlignment="1">
      <alignment horizontal="center" vertical="center"/>
    </xf>
    <xf numFmtId="0" fontId="54" fillId="34" borderId="0" xfId="0" applyFont="1" applyFill="1" applyAlignment="1">
      <alignment horizontal="center" vertical="center"/>
    </xf>
    <xf numFmtId="0" fontId="54" fillId="32" borderId="14" xfId="0" applyFont="1" applyFill="1" applyBorder="1" applyAlignment="1">
      <alignment horizontal="center" vertical="center"/>
    </xf>
    <xf numFmtId="0" fontId="59" fillId="34" borderId="0" xfId="0" applyFont="1" applyFill="1"/>
    <xf numFmtId="0" fontId="47" fillId="34" borderId="0" xfId="0" applyFont="1" applyFill="1"/>
    <xf numFmtId="0" fontId="55" fillId="34" borderId="0" xfId="0" applyFont="1" applyFill="1" applyAlignment="1">
      <alignment horizontal="left" vertical="center"/>
    </xf>
    <xf numFmtId="0" fontId="47" fillId="47" borderId="0" xfId="0" applyFont="1" applyFill="1"/>
    <xf numFmtId="0" fontId="47" fillId="0" borderId="0" xfId="0" applyFont="1" applyAlignment="1">
      <alignment horizontal="center" vertical="center"/>
    </xf>
    <xf numFmtId="0" fontId="50" fillId="34" borderId="12" xfId="0" applyFont="1" applyFill="1" applyBorder="1" applyAlignment="1">
      <alignment horizontal="center" vertical="center"/>
    </xf>
    <xf numFmtId="3" fontId="50" fillId="34" borderId="0" xfId="0" applyNumberFormat="1" applyFont="1" applyFill="1" applyAlignment="1">
      <alignment horizontal="center" vertical="center"/>
    </xf>
    <xf numFmtId="0" fontId="50" fillId="34" borderId="13" xfId="0" applyFont="1" applyFill="1" applyBorder="1" applyAlignment="1">
      <alignment horizontal="center" vertical="center"/>
    </xf>
    <xf numFmtId="0" fontId="50" fillId="32" borderId="12" xfId="0" applyFont="1" applyFill="1" applyBorder="1" applyAlignment="1">
      <alignment horizontal="left" vertical="center" wrapText="1"/>
    </xf>
    <xf numFmtId="3" fontId="50" fillId="32" borderId="0" xfId="0" applyNumberFormat="1" applyFont="1" applyFill="1" applyAlignment="1">
      <alignment horizontal="center" vertical="center"/>
    </xf>
    <xf numFmtId="10" fontId="50" fillId="32" borderId="13" xfId="0" applyNumberFormat="1" applyFont="1" applyFill="1" applyBorder="1" applyAlignment="1">
      <alignment horizontal="center" vertical="center"/>
    </xf>
    <xf numFmtId="0" fontId="50" fillId="32" borderId="12" xfId="0" applyFont="1" applyFill="1" applyBorder="1" applyAlignment="1">
      <alignment horizontal="left" vertical="center"/>
    </xf>
    <xf numFmtId="0" fontId="50" fillId="34" borderId="14" xfId="0" applyFont="1" applyFill="1" applyBorder="1" applyAlignment="1">
      <alignment horizontal="left" vertical="center" wrapText="1"/>
    </xf>
    <xf numFmtId="3" fontId="50" fillId="34" borderId="15" xfId="0" applyNumberFormat="1" applyFont="1" applyFill="1" applyBorder="1" applyAlignment="1">
      <alignment horizontal="center" vertical="center"/>
    </xf>
    <xf numFmtId="10" fontId="50" fillId="34" borderId="16" xfId="0" applyNumberFormat="1" applyFont="1" applyFill="1" applyBorder="1" applyAlignment="1">
      <alignment horizontal="center" vertical="center"/>
    </xf>
    <xf numFmtId="0" fontId="50" fillId="34" borderId="14" xfId="0" applyFont="1" applyFill="1" applyBorder="1" applyAlignment="1">
      <alignment horizontal="left" vertical="center"/>
    </xf>
    <xf numFmtId="0" fontId="50" fillId="34" borderId="12" xfId="0" applyFont="1" applyFill="1" applyBorder="1" applyAlignment="1">
      <alignment horizontal="left" vertical="center" wrapText="1"/>
    </xf>
    <xf numFmtId="3" fontId="50" fillId="34" borderId="13" xfId="0" applyNumberFormat="1" applyFont="1" applyFill="1" applyBorder="1" applyAlignment="1">
      <alignment horizontal="center" vertical="center"/>
    </xf>
    <xf numFmtId="3" fontId="50" fillId="32" borderId="13" xfId="0" applyNumberFormat="1" applyFont="1" applyFill="1" applyBorder="1" applyAlignment="1">
      <alignment horizontal="center" vertical="center"/>
    </xf>
    <xf numFmtId="0" fontId="50" fillId="34" borderId="42" xfId="0" applyFont="1" applyFill="1" applyBorder="1" applyAlignment="1">
      <alignment horizontal="left" vertical="center" wrapText="1"/>
    </xf>
    <xf numFmtId="3" fontId="50" fillId="34" borderId="16" xfId="0" applyNumberFormat="1" applyFont="1" applyFill="1" applyBorder="1" applyAlignment="1">
      <alignment horizontal="center" vertical="center"/>
    </xf>
    <xf numFmtId="0" fontId="47" fillId="34" borderId="10" xfId="0" applyFont="1" applyFill="1" applyBorder="1" applyAlignment="1">
      <alignment horizontal="center" vertical="center"/>
    </xf>
    <xf numFmtId="0" fontId="47" fillId="34" borderId="41" xfId="0" applyFont="1" applyFill="1" applyBorder="1" applyAlignment="1">
      <alignment horizontal="center" vertical="center" wrapText="1"/>
    </xf>
    <xf numFmtId="0" fontId="50" fillId="32" borderId="14" xfId="0" applyFont="1" applyFill="1" applyBorder="1" applyAlignment="1">
      <alignment horizontal="left" vertical="center" wrapText="1"/>
    </xf>
    <xf numFmtId="3" fontId="50" fillId="32" borderId="16" xfId="0" applyNumberFormat="1" applyFont="1" applyFill="1" applyBorder="1" applyAlignment="1">
      <alignment horizontal="center" vertical="center"/>
    </xf>
    <xf numFmtId="0" fontId="46" fillId="47" borderId="0" xfId="0" applyFont="1" applyFill="1" applyAlignment="1">
      <alignment vertical="center"/>
    </xf>
    <xf numFmtId="0" fontId="49" fillId="47" borderId="0" xfId="0" applyFont="1" applyFill="1" applyAlignment="1">
      <alignment vertical="center"/>
    </xf>
    <xf numFmtId="0" fontId="47" fillId="34" borderId="0" xfId="0" applyFont="1" applyFill="1" applyAlignment="1">
      <alignment wrapText="1"/>
    </xf>
    <xf numFmtId="0" fontId="56" fillId="34" borderId="0" xfId="0" applyFont="1" applyFill="1" applyAlignment="1">
      <alignment vertical="center"/>
    </xf>
    <xf numFmtId="0" fontId="62" fillId="46" borderId="51" xfId="0" applyFont="1" applyFill="1" applyBorder="1" applyAlignment="1">
      <alignment horizontal="center" vertical="center" wrapText="1"/>
    </xf>
    <xf numFmtId="0" fontId="47" fillId="34" borderId="0" xfId="0" applyFont="1" applyFill="1" applyAlignment="1">
      <alignment horizontal="right" vertical="center"/>
    </xf>
    <xf numFmtId="0" fontId="58" fillId="34" borderId="12" xfId="0" applyFont="1" applyFill="1" applyBorder="1" applyAlignment="1">
      <alignment horizontal="left" vertical="center" wrapText="1"/>
    </xf>
    <xf numFmtId="10" fontId="47" fillId="34" borderId="0" xfId="0" applyNumberFormat="1" applyFont="1" applyFill="1" applyAlignment="1">
      <alignment horizontal="center" vertical="center"/>
    </xf>
    <xf numFmtId="10" fontId="47" fillId="34" borderId="13" xfId="0" applyNumberFormat="1" applyFont="1" applyFill="1" applyBorder="1" applyAlignment="1">
      <alignment horizontal="center" vertical="center"/>
    </xf>
    <xf numFmtId="0" fontId="58" fillId="33" borderId="12" xfId="0" applyFont="1" applyFill="1" applyBorder="1" applyAlignment="1">
      <alignment horizontal="left" vertical="center" wrapText="1"/>
    </xf>
    <xf numFmtId="10" fontId="47" fillId="33" borderId="0" xfId="0" applyNumberFormat="1" applyFont="1" applyFill="1" applyAlignment="1">
      <alignment horizontal="center" vertical="center"/>
    </xf>
    <xf numFmtId="3" fontId="47" fillId="33" borderId="0" xfId="0" applyNumberFormat="1" applyFont="1" applyFill="1" applyAlignment="1">
      <alignment horizontal="center" vertical="center"/>
    </xf>
    <xf numFmtId="10" fontId="47" fillId="33" borderId="13" xfId="0" applyNumberFormat="1" applyFont="1" applyFill="1" applyBorder="1" applyAlignment="1">
      <alignment horizontal="center" vertical="center"/>
    </xf>
    <xf numFmtId="0" fontId="63" fillId="33" borderId="14" xfId="0" applyFont="1" applyFill="1" applyBorder="1" applyAlignment="1">
      <alignment horizontal="center" vertical="center"/>
    </xf>
    <xf numFmtId="3" fontId="63" fillId="33" borderId="15" xfId="0" applyNumberFormat="1" applyFont="1" applyFill="1" applyBorder="1" applyAlignment="1">
      <alignment horizontal="center" vertical="center"/>
    </xf>
    <xf numFmtId="9" fontId="63" fillId="33" borderId="15" xfId="0" applyNumberFormat="1" applyFont="1" applyFill="1" applyBorder="1" applyAlignment="1">
      <alignment horizontal="center" vertical="center"/>
    </xf>
    <xf numFmtId="9" fontId="63" fillId="33" borderId="16" xfId="0" applyNumberFormat="1" applyFont="1" applyFill="1" applyBorder="1" applyAlignment="1">
      <alignment horizontal="center" vertical="center"/>
    </xf>
    <xf numFmtId="0" fontId="59" fillId="34" borderId="0" xfId="0" applyFont="1" applyFill="1" applyAlignment="1">
      <alignment horizontal="left" vertical="center" wrapText="1"/>
    </xf>
    <xf numFmtId="3" fontId="59" fillId="34" borderId="0" xfId="0" applyNumberFormat="1" applyFont="1" applyFill="1" applyAlignment="1">
      <alignment horizontal="center" vertical="center"/>
    </xf>
    <xf numFmtId="0" fontId="65" fillId="34" borderId="0" xfId="0" applyFont="1" applyFill="1" applyAlignment="1">
      <alignment horizontal="left" vertical="center" wrapText="1"/>
    </xf>
    <xf numFmtId="0" fontId="50" fillId="34" borderId="0" xfId="0" applyFont="1" applyFill="1"/>
    <xf numFmtId="0" fontId="47" fillId="0" borderId="0" xfId="0" applyFont="1"/>
    <xf numFmtId="0" fontId="47" fillId="32" borderId="13" xfId="0" applyFont="1" applyFill="1" applyBorder="1"/>
    <xf numFmtId="0" fontId="66" fillId="32" borderId="12" xfId="0" applyFont="1" applyFill="1" applyBorder="1" applyAlignment="1">
      <alignment horizontal="left" vertical="center" wrapText="1"/>
    </xf>
    <xf numFmtId="3" fontId="66" fillId="32" borderId="0" xfId="0" applyNumberFormat="1" applyFont="1" applyFill="1" applyAlignment="1">
      <alignment horizontal="center" vertical="center"/>
    </xf>
    <xf numFmtId="10" fontId="66" fillId="32" borderId="13" xfId="0" applyNumberFormat="1" applyFont="1" applyFill="1" applyBorder="1" applyAlignment="1">
      <alignment horizontal="center" vertical="center"/>
    </xf>
    <xf numFmtId="10" fontId="50" fillId="34" borderId="13" xfId="0" applyNumberFormat="1" applyFont="1" applyFill="1" applyBorder="1" applyAlignment="1">
      <alignment horizontal="center" vertical="center"/>
    </xf>
    <xf numFmtId="0" fontId="50" fillId="32" borderId="12" xfId="0" applyFont="1" applyFill="1" applyBorder="1" applyAlignment="1">
      <alignment horizontal="right" vertical="center"/>
    </xf>
    <xf numFmtId="0" fontId="50" fillId="32" borderId="12" xfId="0" applyFont="1" applyFill="1" applyBorder="1" applyAlignment="1">
      <alignment horizontal="center" vertical="center"/>
    </xf>
    <xf numFmtId="0" fontId="50" fillId="34" borderId="14" xfId="0" applyFont="1" applyFill="1" applyBorder="1" applyAlignment="1">
      <alignment horizontal="center" vertical="center"/>
    </xf>
    <xf numFmtId="0" fontId="66" fillId="34" borderId="12" xfId="0" applyFont="1" applyFill="1" applyBorder="1" applyAlignment="1">
      <alignment horizontal="left" vertical="center" wrapText="1"/>
    </xf>
    <xf numFmtId="3" fontId="66" fillId="34" borderId="0" xfId="0" applyNumberFormat="1" applyFont="1" applyFill="1" applyAlignment="1">
      <alignment horizontal="center" vertical="center"/>
    </xf>
    <xf numFmtId="10" fontId="66" fillId="34" borderId="13" xfId="0" applyNumberFormat="1" applyFont="1" applyFill="1" applyBorder="1" applyAlignment="1">
      <alignment horizontal="center" vertical="center"/>
    </xf>
    <xf numFmtId="0" fontId="50" fillId="34" borderId="12" xfId="0" applyFont="1" applyFill="1" applyBorder="1" applyAlignment="1">
      <alignment horizontal="right" vertical="center"/>
    </xf>
    <xf numFmtId="0" fontId="50" fillId="32" borderId="14" xfId="0" applyFont="1" applyFill="1" applyBorder="1" applyAlignment="1">
      <alignment horizontal="right" vertical="center"/>
    </xf>
    <xf numFmtId="3" fontId="50" fillId="32" borderId="15" xfId="0" applyNumberFormat="1" applyFont="1" applyFill="1" applyBorder="1" applyAlignment="1">
      <alignment horizontal="center" vertical="center"/>
    </xf>
    <xf numFmtId="10" fontId="50" fillId="32" borderId="16" xfId="0" applyNumberFormat="1" applyFont="1" applyFill="1" applyBorder="1" applyAlignment="1">
      <alignment horizontal="center" vertical="center"/>
    </xf>
    <xf numFmtId="0" fontId="42" fillId="34" borderId="0" xfId="0" applyFont="1" applyFill="1" applyAlignment="1">
      <alignment horizontal="left" vertical="center"/>
    </xf>
    <xf numFmtId="0" fontId="68" fillId="34" borderId="0" xfId="0" applyFont="1" applyFill="1" applyAlignment="1">
      <alignment vertical="center" wrapText="1"/>
    </xf>
    <xf numFmtId="0" fontId="59" fillId="47" borderId="0" xfId="0" applyFont="1" applyFill="1"/>
    <xf numFmtId="0" fontId="68" fillId="47" borderId="0" xfId="0" applyFont="1" applyFill="1" applyAlignment="1">
      <alignment vertical="center" wrapText="1"/>
    </xf>
    <xf numFmtId="0" fontId="68" fillId="34" borderId="0" xfId="0" applyFont="1" applyFill="1" applyAlignment="1">
      <alignment horizontal="center" vertical="center" wrapText="1"/>
    </xf>
    <xf numFmtId="0" fontId="66" fillId="34" borderId="12" xfId="0" applyFont="1" applyFill="1" applyBorder="1" applyAlignment="1">
      <alignment horizontal="left" vertical="center"/>
    </xf>
    <xf numFmtId="0" fontId="66" fillId="34" borderId="13" xfId="0" applyFont="1" applyFill="1" applyBorder="1" applyAlignment="1">
      <alignment horizontal="center" vertical="center"/>
    </xf>
    <xf numFmtId="0" fontId="66" fillId="34" borderId="12" xfId="0" applyFont="1" applyFill="1" applyBorder="1" applyAlignment="1">
      <alignment horizontal="center" vertical="center"/>
    </xf>
    <xf numFmtId="0" fontId="66" fillId="34" borderId="0" xfId="0" applyFont="1" applyFill="1" applyAlignment="1">
      <alignment horizontal="center" vertical="center"/>
    </xf>
    <xf numFmtId="0" fontId="50" fillId="32" borderId="12" xfId="0" applyFont="1" applyFill="1" applyBorder="1" applyAlignment="1">
      <alignment vertical="center" wrapText="1"/>
    </xf>
    <xf numFmtId="0" fontId="50" fillId="34" borderId="12" xfId="0" applyFont="1" applyFill="1" applyBorder="1" applyAlignment="1">
      <alignment vertical="center" wrapText="1"/>
    </xf>
    <xf numFmtId="0" fontId="50" fillId="34" borderId="14" xfId="0" applyFont="1" applyFill="1" applyBorder="1" applyAlignment="1">
      <alignment vertical="center" wrapText="1"/>
    </xf>
    <xf numFmtId="0" fontId="69" fillId="34" borderId="0" xfId="0" applyFont="1" applyFill="1" applyAlignment="1">
      <alignment wrapText="1"/>
    </xf>
    <xf numFmtId="3" fontId="69" fillId="34" borderId="0" xfId="0" applyNumberFormat="1" applyFont="1" applyFill="1" applyAlignment="1">
      <alignment horizontal="center" vertical="center"/>
    </xf>
    <xf numFmtId="0" fontId="69" fillId="34" borderId="0" xfId="0" applyFont="1" applyFill="1" applyAlignment="1">
      <alignment horizontal="center" vertical="center"/>
    </xf>
    <xf numFmtId="0" fontId="62" fillId="34" borderId="0" xfId="0" applyFont="1" applyFill="1" applyAlignment="1">
      <alignment horizontal="left" vertical="center"/>
    </xf>
    <xf numFmtId="0" fontId="57" fillId="34" borderId="0" xfId="0" applyFont="1" applyFill="1" applyAlignment="1">
      <alignment horizontal="center" vertical="center"/>
    </xf>
    <xf numFmtId="0" fontId="50" fillId="32" borderId="14" xfId="0" applyFont="1" applyFill="1" applyBorder="1" applyAlignment="1">
      <alignment vertical="center"/>
    </xf>
    <xf numFmtId="0" fontId="59" fillId="32" borderId="12" xfId="0" applyFont="1" applyFill="1" applyBorder="1" applyAlignment="1">
      <alignment vertical="center" wrapText="1"/>
    </xf>
    <xf numFmtId="3" fontId="59" fillId="32" borderId="0" xfId="0" applyNumberFormat="1" applyFont="1" applyFill="1" applyAlignment="1">
      <alignment horizontal="center" vertical="center"/>
    </xf>
    <xf numFmtId="10" fontId="59" fillId="32" borderId="13" xfId="0" applyNumberFormat="1" applyFont="1" applyFill="1" applyBorder="1" applyAlignment="1">
      <alignment horizontal="center" vertical="center"/>
    </xf>
    <xf numFmtId="2" fontId="71" fillId="46" borderId="22" xfId="0" applyNumberFormat="1" applyFont="1" applyFill="1" applyBorder="1" applyAlignment="1">
      <alignment horizontal="center" vertical="center" wrapText="1"/>
    </xf>
    <xf numFmtId="2" fontId="71" fillId="46" borderId="21" xfId="0" applyNumberFormat="1" applyFont="1" applyFill="1" applyBorder="1" applyAlignment="1">
      <alignment horizontal="center" vertical="center" wrapText="1"/>
    </xf>
    <xf numFmtId="2" fontId="71" fillId="46" borderId="26" xfId="0" applyNumberFormat="1" applyFont="1" applyFill="1" applyBorder="1" applyAlignment="1">
      <alignment horizontal="center" vertical="center" wrapText="1"/>
    </xf>
    <xf numFmtId="2" fontId="68" fillId="34" borderId="0" xfId="0" applyNumberFormat="1" applyFont="1" applyFill="1" applyAlignment="1">
      <alignment horizontal="center" vertical="center" wrapText="1"/>
    </xf>
    <xf numFmtId="0" fontId="59" fillId="32" borderId="12" xfId="0" applyFont="1" applyFill="1" applyBorder="1" applyAlignment="1">
      <alignment horizontal="center" vertical="center" wrapText="1"/>
    </xf>
    <xf numFmtId="10" fontId="59" fillId="34" borderId="14" xfId="0" applyNumberFormat="1" applyFont="1" applyFill="1" applyBorder="1" applyAlignment="1">
      <alignment horizontal="center" vertical="center"/>
    </xf>
    <xf numFmtId="10" fontId="59" fillId="34" borderId="15" xfId="0" applyNumberFormat="1" applyFont="1" applyFill="1" applyBorder="1" applyAlignment="1">
      <alignment horizontal="center" vertical="center"/>
    </xf>
    <xf numFmtId="10" fontId="59" fillId="34" borderId="16" xfId="0" applyNumberFormat="1" applyFont="1" applyFill="1" applyBorder="1" applyAlignment="1">
      <alignment horizontal="center" vertical="center"/>
    </xf>
    <xf numFmtId="0" fontId="59" fillId="34" borderId="12" xfId="0" applyFont="1" applyFill="1" applyBorder="1" applyAlignment="1">
      <alignment vertical="center" wrapText="1"/>
    </xf>
    <xf numFmtId="10" fontId="59" fillId="34" borderId="13" xfId="0" applyNumberFormat="1" applyFont="1" applyFill="1" applyBorder="1" applyAlignment="1">
      <alignment horizontal="center" vertical="center"/>
    </xf>
    <xf numFmtId="0" fontId="59" fillId="34" borderId="12" xfId="0" applyFont="1" applyFill="1" applyBorder="1" applyAlignment="1">
      <alignment horizontal="center" vertical="center" wrapText="1"/>
    </xf>
    <xf numFmtId="0" fontId="59" fillId="32" borderId="14" xfId="0" applyFont="1" applyFill="1" applyBorder="1" applyAlignment="1">
      <alignment vertical="center" wrapText="1"/>
    </xf>
    <xf numFmtId="3" fontId="59" fillId="32" borderId="15" xfId="0" applyNumberFormat="1" applyFont="1" applyFill="1" applyBorder="1" applyAlignment="1">
      <alignment horizontal="center" vertical="center"/>
    </xf>
    <xf numFmtId="10" fontId="59" fillId="32" borderId="16" xfId="0" applyNumberFormat="1" applyFont="1" applyFill="1" applyBorder="1" applyAlignment="1">
      <alignment horizontal="center" vertical="center"/>
    </xf>
    <xf numFmtId="0" fontId="59" fillId="34" borderId="14" xfId="0" applyFont="1" applyFill="1" applyBorder="1" applyAlignment="1">
      <alignment horizontal="center" vertical="center" wrapText="1"/>
    </xf>
    <xf numFmtId="3" fontId="59" fillId="34" borderId="15" xfId="0" applyNumberFormat="1" applyFont="1" applyFill="1" applyBorder="1" applyAlignment="1">
      <alignment horizontal="center" vertical="center"/>
    </xf>
    <xf numFmtId="0" fontId="70" fillId="46" borderId="52" xfId="0" applyFont="1" applyFill="1" applyBorder="1" applyAlignment="1">
      <alignment horizontal="center" vertical="center" wrapText="1"/>
    </xf>
    <xf numFmtId="2" fontId="59" fillId="34" borderId="14" xfId="0" applyNumberFormat="1" applyFont="1" applyFill="1" applyBorder="1" applyAlignment="1">
      <alignment horizontal="center" vertical="center"/>
    </xf>
    <xf numFmtId="0" fontId="50" fillId="34" borderId="0" xfId="0" applyFont="1" applyFill="1" applyAlignment="1">
      <alignment horizontal="center" vertical="center"/>
    </xf>
    <xf numFmtId="0" fontId="50" fillId="32" borderId="12" xfId="0" applyFont="1" applyFill="1" applyBorder="1" applyAlignment="1">
      <alignment horizontal="center" wrapText="1"/>
    </xf>
    <xf numFmtId="0" fontId="50" fillId="34" borderId="12" xfId="0" applyFont="1" applyFill="1" applyBorder="1" applyAlignment="1">
      <alignment horizontal="left" vertical="center"/>
    </xf>
    <xf numFmtId="0" fontId="50" fillId="34" borderId="12" xfId="0" applyFont="1" applyFill="1" applyBorder="1" applyAlignment="1">
      <alignment horizontal="center" wrapText="1"/>
    </xf>
    <xf numFmtId="0" fontId="50" fillId="32" borderId="14" xfId="0" applyFont="1" applyFill="1" applyBorder="1" applyAlignment="1">
      <alignment horizontal="center" wrapText="1"/>
    </xf>
    <xf numFmtId="0" fontId="68" fillId="34" borderId="0" xfId="0" applyFont="1" applyFill="1" applyAlignment="1">
      <alignment horizontal="center" wrapText="1"/>
    </xf>
    <xf numFmtId="0" fontId="50" fillId="34" borderId="12" xfId="0" applyFont="1" applyFill="1" applyBorder="1"/>
    <xf numFmtId="0" fontId="41" fillId="47" borderId="0" xfId="0" applyFont="1" applyFill="1"/>
    <xf numFmtId="0" fontId="72" fillId="32" borderId="35" xfId="0" applyFont="1" applyFill="1" applyBorder="1" applyAlignment="1">
      <alignment horizontal="center" vertical="center" wrapText="1"/>
    </xf>
    <xf numFmtId="3" fontId="68" fillId="34" borderId="35" xfId="0" applyNumberFormat="1" applyFont="1" applyFill="1" applyBorder="1" applyAlignment="1">
      <alignment horizontal="center" vertical="center"/>
    </xf>
    <xf numFmtId="10" fontId="68" fillId="34" borderId="35" xfId="0" applyNumberFormat="1" applyFont="1" applyFill="1" applyBorder="1" applyAlignment="1">
      <alignment horizontal="center" vertical="center"/>
    </xf>
    <xf numFmtId="3" fontId="59" fillId="32" borderId="35" xfId="0" applyNumberFormat="1" applyFont="1" applyFill="1" applyBorder="1" applyAlignment="1">
      <alignment horizontal="center" vertical="center"/>
    </xf>
    <xf numFmtId="10" fontId="59" fillId="32" borderId="35" xfId="0" applyNumberFormat="1" applyFont="1" applyFill="1" applyBorder="1" applyAlignment="1">
      <alignment horizontal="center" vertical="center"/>
    </xf>
    <xf numFmtId="3" fontId="59" fillId="34" borderId="35" xfId="0" applyNumberFormat="1" applyFont="1" applyFill="1" applyBorder="1" applyAlignment="1">
      <alignment horizontal="center" vertical="center"/>
    </xf>
    <xf numFmtId="10" fontId="59" fillId="34" borderId="35" xfId="0" applyNumberFormat="1" applyFont="1" applyFill="1" applyBorder="1" applyAlignment="1">
      <alignment horizontal="center" vertical="center"/>
    </xf>
    <xf numFmtId="0" fontId="41" fillId="34" borderId="46" xfId="0" applyFont="1" applyFill="1" applyBorder="1"/>
    <xf numFmtId="0" fontId="59" fillId="32" borderId="39" xfId="0" applyFont="1" applyFill="1" applyBorder="1" applyAlignment="1">
      <alignment vertical="center" wrapText="1"/>
    </xf>
    <xf numFmtId="3" fontId="59" fillId="32" borderId="38" xfId="0" applyNumberFormat="1" applyFont="1" applyFill="1" applyBorder="1" applyAlignment="1">
      <alignment horizontal="center" vertical="center"/>
    </xf>
    <xf numFmtId="0" fontId="59" fillId="34" borderId="35" xfId="0" applyFont="1" applyFill="1" applyBorder="1" applyAlignment="1">
      <alignment vertical="center" wrapText="1"/>
    </xf>
    <xf numFmtId="0" fontId="59" fillId="32" borderId="35" xfId="0" applyFont="1" applyFill="1" applyBorder="1" applyAlignment="1">
      <alignment vertical="center" wrapText="1"/>
    </xf>
    <xf numFmtId="0" fontId="72" fillId="34" borderId="35" xfId="0" applyFont="1" applyFill="1" applyBorder="1" applyAlignment="1">
      <alignment horizontal="center" vertical="center" wrapText="1"/>
    </xf>
    <xf numFmtId="3" fontId="59" fillId="34" borderId="38" xfId="0" applyNumberFormat="1" applyFont="1" applyFill="1" applyBorder="1" applyAlignment="1">
      <alignment horizontal="center" vertical="center"/>
    </xf>
    <xf numFmtId="0" fontId="59" fillId="32" borderId="45" xfId="0" applyFont="1" applyFill="1" applyBorder="1" applyAlignment="1">
      <alignment vertical="center" wrapText="1"/>
    </xf>
    <xf numFmtId="0" fontId="59" fillId="34" borderId="0" xfId="0" applyFont="1" applyFill="1" applyAlignment="1">
      <alignment vertical="center"/>
    </xf>
    <xf numFmtId="0" fontId="59" fillId="34" borderId="45" xfId="0" applyFont="1" applyFill="1" applyBorder="1" applyAlignment="1">
      <alignment vertical="center" wrapText="1"/>
    </xf>
    <xf numFmtId="0" fontId="59" fillId="32" borderId="37" xfId="0" applyFont="1" applyFill="1" applyBorder="1" applyAlignment="1">
      <alignment vertical="center" wrapText="1"/>
    </xf>
    <xf numFmtId="3" fontId="71" fillId="34" borderId="0" xfId="0" applyNumberFormat="1" applyFont="1" applyFill="1" applyAlignment="1">
      <alignment horizontal="center" vertical="center"/>
    </xf>
    <xf numFmtId="10" fontId="71" fillId="34" borderId="0" xfId="0" applyNumberFormat="1" applyFont="1" applyFill="1" applyAlignment="1">
      <alignment horizontal="center" vertical="center"/>
    </xf>
    <xf numFmtId="0" fontId="59" fillId="34" borderId="35" xfId="0" applyFont="1" applyFill="1" applyBorder="1"/>
    <xf numFmtId="0" fontId="59" fillId="34" borderId="35" xfId="0" applyFont="1" applyFill="1" applyBorder="1" applyAlignment="1">
      <alignment horizontal="center" vertical="center"/>
    </xf>
    <xf numFmtId="0" fontId="59" fillId="34" borderId="0" xfId="0" applyFont="1" applyFill="1" applyAlignment="1">
      <alignment horizontal="center" vertical="center"/>
    </xf>
    <xf numFmtId="0" fontId="59" fillId="32" borderId="35" xfId="0" applyFont="1" applyFill="1" applyBorder="1" applyAlignment="1">
      <alignment vertical="center"/>
    </xf>
    <xf numFmtId="0" fontId="41" fillId="34" borderId="35" xfId="0" applyFont="1" applyFill="1" applyBorder="1"/>
    <xf numFmtId="0" fontId="71" fillId="34" borderId="0" xfId="0" applyFont="1" applyFill="1"/>
    <xf numFmtId="0" fontId="71" fillId="34" borderId="0" xfId="0" applyFont="1" applyFill="1" applyAlignment="1">
      <alignment horizontal="center" vertical="center"/>
    </xf>
    <xf numFmtId="0" fontId="71" fillId="34" borderId="0" xfId="0" applyFont="1" applyFill="1" applyAlignment="1">
      <alignment vertical="center" wrapText="1"/>
    </xf>
    <xf numFmtId="0" fontId="51" fillId="34" borderId="0" xfId="0" applyFont="1" applyFill="1" applyAlignment="1">
      <alignment horizontal="right"/>
    </xf>
    <xf numFmtId="0" fontId="46" fillId="47" borderId="0" xfId="0" applyFont="1" applyFill="1"/>
    <xf numFmtId="0" fontId="70" fillId="34" borderId="0" xfId="0" applyFont="1" applyFill="1" applyAlignment="1">
      <alignment vertical="center" wrapText="1"/>
    </xf>
    <xf numFmtId="0" fontId="68" fillId="32" borderId="35" xfId="0" applyFont="1" applyFill="1" applyBorder="1" applyAlignment="1">
      <alignment vertical="center" wrapText="1"/>
    </xf>
    <xf numFmtId="0" fontId="22" fillId="34" borderId="0" xfId="0" applyFont="1" applyFill="1" applyAlignment="1">
      <alignment horizontal="center" vertical="center"/>
    </xf>
    <xf numFmtId="3" fontId="24" fillId="34" borderId="0" xfId="0" applyNumberFormat="1" applyFont="1" applyFill="1" applyAlignment="1">
      <alignment horizontal="left" vertical="center"/>
    </xf>
    <xf numFmtId="0" fontId="24" fillId="34" borderId="0" xfId="0" applyFont="1" applyFill="1" applyAlignment="1">
      <alignment horizontal="left" vertical="center"/>
    </xf>
    <xf numFmtId="0" fontId="35" fillId="34" borderId="0" xfId="0" applyFont="1" applyFill="1" applyAlignment="1">
      <alignment horizontal="center" vertical="center"/>
    </xf>
    <xf numFmtId="0" fontId="46" fillId="47" borderId="0" xfId="0" applyFont="1" applyFill="1" applyAlignment="1" applyProtection="1">
      <alignment horizontal="left" vertical="center"/>
      <protection locked="0"/>
    </xf>
    <xf numFmtId="0" fontId="45" fillId="34" borderId="0" xfId="38" applyFont="1" applyFill="1" applyAlignment="1">
      <alignment horizontal="left" vertical="center"/>
    </xf>
    <xf numFmtId="0" fontId="41" fillId="34" borderId="0" xfId="0" applyFont="1" applyFill="1" applyAlignment="1">
      <alignment horizontal="justify" vertical="justify" wrapText="1"/>
    </xf>
    <xf numFmtId="0" fontId="44" fillId="46" borderId="0" xfId="38" applyFont="1" applyFill="1" applyAlignment="1">
      <alignment horizontal="left" vertical="center"/>
    </xf>
    <xf numFmtId="0" fontId="45" fillId="34" borderId="0" xfId="38" applyFont="1" applyFill="1" applyAlignment="1">
      <alignment horizontal="left" vertical="center" wrapText="1"/>
    </xf>
    <xf numFmtId="0" fontId="45" fillId="47" borderId="0" xfId="38" applyFont="1" applyFill="1" applyAlignment="1">
      <alignment horizontal="left" vertical="center"/>
    </xf>
    <xf numFmtId="0" fontId="50" fillId="34" borderId="0" xfId="0" applyFont="1" applyFill="1" applyAlignment="1">
      <alignment horizontal="left" vertical="center" wrapText="1"/>
    </xf>
    <xf numFmtId="0" fontId="53" fillId="46" borderId="9" xfId="0" applyFont="1" applyFill="1" applyBorder="1" applyAlignment="1">
      <alignment horizontal="center" vertical="center" wrapText="1"/>
    </xf>
    <xf numFmtId="0" fontId="53" fillId="46" borderId="10" xfId="0" applyFont="1" applyFill="1" applyBorder="1" applyAlignment="1">
      <alignment horizontal="center" vertical="center" wrapText="1"/>
    </xf>
    <xf numFmtId="0" fontId="53" fillId="46" borderId="11" xfId="0" applyFont="1" applyFill="1" applyBorder="1" applyAlignment="1">
      <alignment horizontal="center" vertical="center" wrapText="1"/>
    </xf>
    <xf numFmtId="0" fontId="54" fillId="34" borderId="30" xfId="0" applyFont="1" applyFill="1" applyBorder="1" applyAlignment="1">
      <alignment horizontal="left" vertical="center" wrapText="1"/>
    </xf>
    <xf numFmtId="0" fontId="54" fillId="34" borderId="0" xfId="0" applyFont="1" applyFill="1" applyAlignment="1">
      <alignment horizontal="left" vertical="center" wrapText="1"/>
    </xf>
    <xf numFmtId="0" fontId="54" fillId="32" borderId="30" xfId="0" applyFont="1" applyFill="1" applyBorder="1" applyAlignment="1">
      <alignment horizontal="left" vertical="center" wrapText="1"/>
    </xf>
    <xf numFmtId="0" fontId="54" fillId="32" borderId="0" xfId="0" applyFont="1" applyFill="1" applyAlignment="1">
      <alignment horizontal="left" vertical="center" wrapText="1"/>
    </xf>
    <xf numFmtId="0" fontId="54" fillId="34" borderId="32" xfId="0" applyFont="1" applyFill="1" applyBorder="1" applyAlignment="1">
      <alignment horizontal="left" vertical="center" wrapText="1"/>
    </xf>
    <xf numFmtId="0" fontId="54" fillId="34" borderId="33" xfId="0" applyFont="1" applyFill="1" applyBorder="1" applyAlignment="1">
      <alignment horizontal="left" vertical="center" wrapText="1"/>
    </xf>
    <xf numFmtId="0" fontId="53" fillId="46" borderId="27" xfId="0" applyFont="1" applyFill="1" applyBorder="1" applyAlignment="1">
      <alignment horizontal="center" vertical="center"/>
    </xf>
    <xf numFmtId="0" fontId="53" fillId="46" borderId="28" xfId="0" applyFont="1" applyFill="1" applyBorder="1" applyAlignment="1">
      <alignment horizontal="center" vertical="center"/>
    </xf>
    <xf numFmtId="0" fontId="53" fillId="46" borderId="29" xfId="0" applyFont="1" applyFill="1" applyBorder="1" applyAlignment="1">
      <alignment horizontal="center" vertical="center"/>
    </xf>
    <xf numFmtId="0" fontId="54" fillId="32" borderId="32" xfId="0" applyFont="1" applyFill="1" applyBorder="1" applyAlignment="1">
      <alignment horizontal="left" vertical="center" wrapText="1"/>
    </xf>
    <xf numFmtId="0" fontId="54" fillId="32" borderId="33" xfId="0" applyFont="1" applyFill="1" applyBorder="1" applyAlignment="1">
      <alignment horizontal="left" vertical="center" wrapText="1"/>
    </xf>
    <xf numFmtId="0" fontId="53" fillId="46" borderId="27" xfId="0" applyFont="1" applyFill="1" applyBorder="1" applyAlignment="1">
      <alignment horizontal="center" vertical="center" wrapText="1"/>
    </xf>
    <xf numFmtId="0" fontId="53" fillId="46" borderId="28" xfId="0" applyFont="1" applyFill="1" applyBorder="1" applyAlignment="1">
      <alignment horizontal="center" vertical="center" wrapText="1"/>
    </xf>
    <xf numFmtId="0" fontId="53" fillId="46" borderId="29" xfId="0" applyFont="1" applyFill="1" applyBorder="1" applyAlignment="1">
      <alignment horizontal="center" vertical="center" wrapText="1"/>
    </xf>
    <xf numFmtId="0" fontId="54" fillId="32" borderId="12" xfId="0" applyFont="1" applyFill="1" applyBorder="1" applyAlignment="1">
      <alignment horizontal="center" vertical="center" wrapText="1"/>
    </xf>
    <xf numFmtId="0" fontId="54" fillId="32" borderId="14" xfId="0" applyFont="1" applyFill="1" applyBorder="1" applyAlignment="1">
      <alignment horizontal="center" vertical="center" wrapText="1"/>
    </xf>
    <xf numFmtId="0" fontId="55" fillId="34" borderId="0" xfId="0" applyFont="1" applyFill="1" applyAlignment="1">
      <alignment horizontal="left" vertical="center" wrapText="1"/>
    </xf>
    <xf numFmtId="0" fontId="57" fillId="46" borderId="9" xfId="0" applyFont="1" applyFill="1" applyBorder="1" applyAlignment="1">
      <alignment horizontal="center" vertical="center" wrapText="1"/>
    </xf>
    <xf numFmtId="0" fontId="57" fillId="46" borderId="10" xfId="0" applyFont="1" applyFill="1" applyBorder="1" applyAlignment="1">
      <alignment horizontal="center" vertical="center" wrapText="1"/>
    </xf>
    <xf numFmtId="0" fontId="57" fillId="46" borderId="11" xfId="0" applyFont="1" applyFill="1" applyBorder="1" applyAlignment="1">
      <alignment horizontal="center" vertical="center" wrapText="1"/>
    </xf>
    <xf numFmtId="0" fontId="57" fillId="46" borderId="9" xfId="0" applyFont="1" applyFill="1" applyBorder="1" applyAlignment="1">
      <alignment horizontal="center" vertical="center"/>
    </xf>
    <xf numFmtId="0" fontId="57" fillId="46" borderId="10" xfId="0" applyFont="1" applyFill="1" applyBorder="1" applyAlignment="1">
      <alignment horizontal="center" vertical="center"/>
    </xf>
    <xf numFmtId="0" fontId="57" fillId="46" borderId="11" xfId="0" applyFont="1" applyFill="1" applyBorder="1" applyAlignment="1">
      <alignment horizontal="center" vertical="center"/>
    </xf>
    <xf numFmtId="0" fontId="25" fillId="34" borderId="0" xfId="0" applyFont="1" applyFill="1" applyAlignment="1">
      <alignment horizontal="center" vertical="center" wrapText="1"/>
    </xf>
    <xf numFmtId="0" fontId="32" fillId="34" borderId="0" xfId="0" applyFont="1" applyFill="1" applyAlignment="1">
      <alignment horizontal="center" vertical="center" wrapText="1"/>
    </xf>
    <xf numFmtId="0" fontId="50" fillId="34" borderId="14" xfId="0" applyFont="1" applyFill="1" applyBorder="1" applyAlignment="1">
      <alignment horizontal="left" vertical="center" wrapText="1"/>
    </xf>
    <xf numFmtId="0" fontId="50" fillId="34" borderId="15" xfId="0" applyFont="1" applyFill="1" applyBorder="1" applyAlignment="1">
      <alignment horizontal="left" vertical="center" wrapText="1"/>
    </xf>
    <xf numFmtId="0" fontId="50" fillId="34" borderId="12" xfId="0" applyFont="1" applyFill="1" applyBorder="1" applyAlignment="1">
      <alignment horizontal="left" vertical="center" wrapText="1"/>
    </xf>
    <xf numFmtId="0" fontId="50" fillId="32" borderId="12" xfId="0" applyFont="1" applyFill="1" applyBorder="1" applyAlignment="1">
      <alignment horizontal="left" vertical="center" wrapText="1"/>
    </xf>
    <xf numFmtId="0" fontId="50" fillId="32" borderId="0" xfId="0" applyFont="1" applyFill="1" applyAlignment="1">
      <alignment horizontal="left" vertical="center" wrapText="1"/>
    </xf>
    <xf numFmtId="0" fontId="64" fillId="34" borderId="0" xfId="0" applyFont="1" applyFill="1" applyAlignment="1">
      <alignment horizontal="center" vertical="center" wrapText="1"/>
    </xf>
    <xf numFmtId="0" fontId="61" fillId="34" borderId="51" xfId="0" applyFont="1" applyFill="1" applyBorder="1" applyAlignment="1">
      <alignment horizontal="center" vertical="center"/>
    </xf>
    <xf numFmtId="0" fontId="60" fillId="46" borderId="51" xfId="0" applyFont="1" applyFill="1" applyBorder="1" applyAlignment="1">
      <alignment horizontal="left" vertical="center" wrapText="1"/>
    </xf>
    <xf numFmtId="0" fontId="19" fillId="34" borderId="0" xfId="0" applyFont="1" applyFill="1" applyAlignment="1">
      <alignment horizontal="left" vertical="center" wrapText="1"/>
    </xf>
    <xf numFmtId="0" fontId="67" fillId="34" borderId="0" xfId="0" applyFont="1" applyFill="1" applyAlignment="1">
      <alignment horizontal="left" vertical="center" wrapText="1"/>
    </xf>
    <xf numFmtId="0" fontId="67" fillId="34" borderId="13" xfId="0" applyFont="1" applyFill="1" applyBorder="1" applyAlignment="1">
      <alignment horizontal="left" vertical="center" wrapText="1"/>
    </xf>
    <xf numFmtId="0" fontId="67" fillId="34" borderId="0" xfId="0" applyFont="1" applyFill="1" applyAlignment="1">
      <alignment horizontal="justify" vertical="top" wrapText="1"/>
    </xf>
    <xf numFmtId="0" fontId="67" fillId="34" borderId="13" xfId="0" applyFont="1" applyFill="1" applyBorder="1" applyAlignment="1">
      <alignment horizontal="justify" vertical="top" wrapText="1"/>
    </xf>
    <xf numFmtId="0" fontId="19" fillId="34" borderId="0" xfId="0" applyFont="1" applyFill="1" applyAlignment="1">
      <alignment horizontal="left" vertical="center"/>
    </xf>
    <xf numFmtId="165" fontId="62" fillId="34" borderId="0" xfId="0" applyNumberFormat="1" applyFont="1" applyFill="1" applyAlignment="1">
      <alignment horizontal="center" vertical="center" wrapText="1"/>
    </xf>
    <xf numFmtId="165" fontId="57" fillId="34" borderId="0" xfId="0" applyNumberFormat="1" applyFont="1" applyFill="1" applyAlignment="1">
      <alignment horizontal="center" vertical="center"/>
    </xf>
    <xf numFmtId="0" fontId="62" fillId="34" borderId="0" xfId="0" applyFont="1" applyFill="1" applyAlignment="1">
      <alignment horizontal="center" vertical="center" wrapText="1"/>
    </xf>
    <xf numFmtId="2" fontId="70" fillId="46" borderId="23" xfId="0" applyNumberFormat="1" applyFont="1" applyFill="1" applyBorder="1" applyAlignment="1">
      <alignment horizontal="center" vertical="center" wrapText="1"/>
    </xf>
    <xf numFmtId="2" fontId="70" fillId="46" borderId="24" xfId="0" applyNumberFormat="1" applyFont="1" applyFill="1" applyBorder="1" applyAlignment="1">
      <alignment horizontal="center" vertical="center" wrapText="1"/>
    </xf>
    <xf numFmtId="2" fontId="70" fillId="46" borderId="25" xfId="0" applyNumberFormat="1" applyFont="1" applyFill="1" applyBorder="1" applyAlignment="1">
      <alignment horizontal="center" vertical="center" wrapText="1"/>
    </xf>
    <xf numFmtId="0" fontId="70" fillId="46" borderId="9" xfId="0" applyFont="1" applyFill="1" applyBorder="1" applyAlignment="1">
      <alignment horizontal="center" vertical="center" wrapText="1"/>
    </xf>
    <xf numFmtId="0" fontId="70" fillId="46" borderId="10" xfId="0" applyFont="1" applyFill="1" applyBorder="1" applyAlignment="1">
      <alignment horizontal="center" vertical="center" wrapText="1"/>
    </xf>
    <xf numFmtId="0" fontId="70" fillId="46" borderId="11" xfId="0" applyFont="1" applyFill="1" applyBorder="1" applyAlignment="1">
      <alignment horizontal="center" vertical="center" wrapText="1"/>
    </xf>
    <xf numFmtId="2" fontId="22" fillId="34" borderId="0" xfId="0" applyNumberFormat="1" applyFont="1" applyFill="1" applyAlignment="1">
      <alignment horizontal="center" vertical="center" wrapText="1"/>
    </xf>
    <xf numFmtId="0" fontId="37" fillId="34" borderId="43" xfId="0" applyFont="1" applyFill="1" applyBorder="1" applyAlignment="1">
      <alignment horizontal="center" vertical="center" wrapText="1"/>
    </xf>
    <xf numFmtId="0" fontId="37" fillId="34" borderId="20" xfId="0" applyFont="1" applyFill="1" applyBorder="1" applyAlignment="1">
      <alignment horizontal="center" vertical="center" wrapText="1"/>
    </xf>
    <xf numFmtId="2" fontId="59" fillId="34" borderId="15" xfId="0" applyNumberFormat="1" applyFont="1" applyFill="1" applyBorder="1" applyAlignment="1">
      <alignment horizontal="center" vertical="center"/>
    </xf>
    <xf numFmtId="2" fontId="59" fillId="34" borderId="16" xfId="0" applyNumberFormat="1" applyFont="1" applyFill="1" applyBorder="1" applyAlignment="1">
      <alignment horizontal="center" vertical="center"/>
    </xf>
    <xf numFmtId="2" fontId="70" fillId="46" borderId="9" xfId="0" applyNumberFormat="1" applyFont="1" applyFill="1" applyBorder="1" applyAlignment="1">
      <alignment horizontal="center" vertical="center" wrapText="1"/>
    </xf>
    <xf numFmtId="2" fontId="70" fillId="46" borderId="10" xfId="0" applyNumberFormat="1" applyFont="1" applyFill="1" applyBorder="1" applyAlignment="1">
      <alignment horizontal="center" vertical="center" wrapText="1"/>
    </xf>
    <xf numFmtId="2" fontId="70" fillId="46" borderId="11" xfId="0" applyNumberFormat="1" applyFont="1" applyFill="1" applyBorder="1" applyAlignment="1">
      <alignment horizontal="center" vertical="center" wrapText="1"/>
    </xf>
    <xf numFmtId="0" fontId="70" fillId="46" borderId="50" xfId="0" applyFont="1" applyFill="1" applyBorder="1" applyAlignment="1">
      <alignment horizontal="center" vertical="center" wrapText="1"/>
    </xf>
    <xf numFmtId="0" fontId="70" fillId="46" borderId="53" xfId="0" applyFont="1" applyFill="1" applyBorder="1" applyAlignment="1">
      <alignment horizontal="center" vertical="center" wrapText="1"/>
    </xf>
    <xf numFmtId="0" fontId="59" fillId="32" borderId="37" xfId="0" applyFont="1" applyFill="1" applyBorder="1" applyAlignment="1">
      <alignment horizontal="left" vertical="center" wrapText="1"/>
    </xf>
    <xf numFmtId="0" fontId="59" fillId="32" borderId="38" xfId="0" applyFont="1" applyFill="1" applyBorder="1" applyAlignment="1">
      <alignment horizontal="left" vertical="center" wrapText="1"/>
    </xf>
    <xf numFmtId="0" fontId="71" fillId="34" borderId="0" xfId="0" applyFont="1" applyFill="1" applyAlignment="1">
      <alignment horizontal="left" vertical="center" wrapText="1"/>
    </xf>
    <xf numFmtId="0" fontId="59" fillId="32" borderId="35" xfId="0" applyFont="1" applyFill="1" applyBorder="1" applyAlignment="1">
      <alignment horizontal="left" vertical="center" wrapText="1"/>
    </xf>
    <xf numFmtId="0" fontId="59" fillId="34" borderId="35" xfId="0" applyFont="1" applyFill="1" applyBorder="1" applyAlignment="1">
      <alignment horizontal="left" vertical="center" wrapText="1"/>
    </xf>
    <xf numFmtId="0" fontId="57" fillId="46" borderId="36" xfId="0" applyFont="1" applyFill="1" applyBorder="1" applyAlignment="1">
      <alignment horizontal="center" vertical="center" wrapText="1"/>
    </xf>
    <xf numFmtId="0" fontId="59" fillId="34" borderId="37" xfId="0" applyFont="1" applyFill="1" applyBorder="1" applyAlignment="1">
      <alignment horizontal="left" vertical="center" wrapText="1"/>
    </xf>
    <xf numFmtId="0" fontId="59" fillId="34" borderId="38" xfId="0" applyFont="1" applyFill="1" applyBorder="1" applyAlignment="1">
      <alignment horizontal="left" vertical="center" wrapText="1"/>
    </xf>
    <xf numFmtId="0" fontId="22" fillId="34" borderId="0" xfId="0" applyFont="1" applyFill="1" applyAlignment="1">
      <alignment horizontal="center" vertical="center" wrapText="1"/>
    </xf>
    <xf numFmtId="0" fontId="68" fillId="34" borderId="39" xfId="0" applyFont="1" applyFill="1" applyBorder="1" applyAlignment="1">
      <alignment horizontal="center" vertical="center" wrapText="1"/>
    </xf>
    <xf numFmtId="0" fontId="68" fillId="34" borderId="40" xfId="0" applyFont="1" applyFill="1" applyBorder="1" applyAlignment="1">
      <alignment horizontal="center" vertical="center" wrapText="1"/>
    </xf>
    <xf numFmtId="0" fontId="68" fillId="34" borderId="47" xfId="0" applyFont="1" applyFill="1" applyBorder="1" applyAlignment="1">
      <alignment horizontal="center" vertical="center" wrapText="1"/>
    </xf>
    <xf numFmtId="0" fontId="68" fillId="34" borderId="48" xfId="0" applyFont="1" applyFill="1" applyBorder="1" applyAlignment="1">
      <alignment horizontal="center" vertical="center" wrapText="1"/>
    </xf>
    <xf numFmtId="0" fontId="68" fillId="34" borderId="45" xfId="0" applyFont="1" applyFill="1" applyBorder="1" applyAlignment="1">
      <alignment horizontal="center" vertical="center" wrapText="1"/>
    </xf>
    <xf numFmtId="0" fontId="68" fillId="34" borderId="49" xfId="0" applyFont="1" applyFill="1" applyBorder="1" applyAlignment="1">
      <alignment horizontal="center" vertical="center" wrapText="1"/>
    </xf>
    <xf numFmtId="0" fontId="57" fillId="46" borderId="0" xfId="0" applyFont="1" applyFill="1" applyAlignment="1">
      <alignment horizontal="center" vertical="center" wrapText="1"/>
    </xf>
    <xf numFmtId="0" fontId="57" fillId="46" borderId="12" xfId="0" applyFont="1" applyFill="1" applyBorder="1" applyAlignment="1">
      <alignment horizontal="center" vertical="center" wrapText="1"/>
    </xf>
    <xf numFmtId="0" fontId="70" fillId="34" borderId="0" xfId="0" applyFont="1" applyFill="1" applyAlignment="1">
      <alignment horizontal="center" vertical="center"/>
    </xf>
    <xf numFmtId="0" fontId="70" fillId="34" borderId="0" xfId="0" applyFont="1" applyFill="1" applyAlignment="1">
      <alignment horizontal="center" vertical="center" wrapText="1"/>
    </xf>
    <xf numFmtId="0" fontId="71" fillId="46" borderId="35" xfId="0" applyFont="1" applyFill="1" applyBorder="1" applyAlignment="1">
      <alignment horizontal="center" vertical="center" wrapText="1"/>
    </xf>
    <xf numFmtId="0" fontId="64" fillId="46" borderId="35" xfId="0" applyFont="1" applyFill="1" applyBorder="1" applyAlignment="1">
      <alignment horizontal="center" vertical="center" wrapText="1"/>
    </xf>
    <xf numFmtId="0" fontId="57" fillId="46" borderId="35" xfId="0" applyFont="1" applyFill="1" applyBorder="1" applyAlignment="1">
      <alignment horizontal="center" vertical="center" wrapText="1"/>
    </xf>
    <xf numFmtId="0" fontId="0" fillId="0" borderId="0" xfId="0" applyAlignment="1">
      <alignment horizontal="center"/>
    </xf>
  </cellXfs>
  <cellStyles count="42">
    <cellStyle name="20% - Énfasis1" xfId="15" builtinId="30" customBuiltin="1"/>
    <cellStyle name="20% - Énfasis2" xfId="18" builtinId="34" customBuiltin="1"/>
    <cellStyle name="20% - Énfasis3" xfId="21" builtinId="38" customBuiltin="1"/>
    <cellStyle name="20% - Énfasis4" xfId="24" builtinId="42" customBuiltin="1"/>
    <cellStyle name="20% - Énfasis5" xfId="27" builtinId="46" customBuiltin="1"/>
    <cellStyle name="20% - Énfasis6" xfId="30" builtinId="50" customBuiltin="1"/>
    <cellStyle name="40% - Énfasis1" xfId="16" builtinId="31" customBuiltin="1"/>
    <cellStyle name="40% - Énfasis2" xfId="19" builtinId="35" customBuiltin="1"/>
    <cellStyle name="40% - Énfasis3" xfId="22" builtinId="39" customBuiltin="1"/>
    <cellStyle name="40% - Énfasis4" xfId="25" builtinId="43" customBuiltin="1"/>
    <cellStyle name="40% - Énfasis5" xfId="28" builtinId="47" customBuiltin="1"/>
    <cellStyle name="40% - Énfasis6" xfId="31" builtinId="51" customBuiltin="1"/>
    <cellStyle name="60% - Énfasis1 2" xfId="32" xr:uid="{00000000-0005-0000-0000-00000C000000}"/>
    <cellStyle name="60% - Énfasis2 2" xfId="33" xr:uid="{00000000-0005-0000-0000-00000D000000}"/>
    <cellStyle name="60% - Énfasis3 2" xfId="34" xr:uid="{00000000-0005-0000-0000-00000E000000}"/>
    <cellStyle name="60% - Énfasis4 2" xfId="35" xr:uid="{00000000-0005-0000-0000-00000F000000}"/>
    <cellStyle name="60% - Énfasis5 2" xfId="36" xr:uid="{00000000-0005-0000-0000-000010000000}"/>
    <cellStyle name="60% - Énfasis6 2" xfId="37" xr:uid="{00000000-0005-0000-0000-000011000000}"/>
    <cellStyle name="Cálculo" xfId="7" builtinId="22" customBuiltin="1"/>
    <cellStyle name="Celda de comprobación" xfId="9" builtinId="23" customBuiltin="1"/>
    <cellStyle name="Celda vinculada" xfId="8" builtinId="24" customBuiltin="1"/>
    <cellStyle name="Encabezado 4" xfId="3" builtinId="19" customBuiltin="1"/>
    <cellStyle name="Énfasis1" xfId="14" builtinId="29" customBuiltin="1"/>
    <cellStyle name="Énfasis2" xfId="17" builtinId="33" customBuiltin="1"/>
    <cellStyle name="Énfasis3" xfId="20" builtinId="37" customBuiltin="1"/>
    <cellStyle name="Énfasis4" xfId="23" builtinId="41" customBuiltin="1"/>
    <cellStyle name="Énfasis5" xfId="26" builtinId="45" customBuiltin="1"/>
    <cellStyle name="Énfasis6" xfId="29" builtinId="49" customBuiltin="1"/>
    <cellStyle name="Entrada" xfId="5" builtinId="20" customBuiltin="1"/>
    <cellStyle name="Hipervínculo" xfId="38" builtinId="8" customBuiltin="1"/>
    <cellStyle name="Hipervínculo visitado" xfId="39" builtinId="9" customBuiltin="1"/>
    <cellStyle name="Incorrecto" xfId="4" builtinId="27" customBuiltin="1"/>
    <cellStyle name="Neutral 2" xfId="40" xr:uid="{00000000-0005-0000-0000-000020000000}"/>
    <cellStyle name="Normal" xfId="0" builtinId="0"/>
    <cellStyle name="Notas" xfId="11" builtinId="10" customBuiltin="1"/>
    <cellStyle name="Salida" xfId="6" builtinId="21" customBuiltin="1"/>
    <cellStyle name="Texto de advertencia" xfId="10" builtinId="11" customBuiltin="1"/>
    <cellStyle name="Texto explicativo" xfId="12" builtinId="53" customBuiltin="1"/>
    <cellStyle name="Título 2" xfId="1" builtinId="17" customBuiltin="1"/>
    <cellStyle name="Título 3" xfId="2" builtinId="18" customBuiltin="1"/>
    <cellStyle name="Título 4" xfId="41" xr:uid="{00000000-0005-0000-0000-000028000000}"/>
    <cellStyle name="Total" xfId="13" builtinId="25" customBuiltin="1"/>
  </cellStyles>
  <dxfs count="0"/>
  <tableStyles count="0" defaultTableStyle="TableStyleMedium2" defaultPivotStyle="PivotStyleLight16"/>
  <colors>
    <mruColors>
      <color rgb="FF595959"/>
      <color rgb="FFAE192D"/>
      <color rgb="FFC90166"/>
      <color rgb="FF009885"/>
      <color rgb="FFD3C2B4"/>
      <color rgb="FF990033"/>
      <color rgb="FF7F7F7F"/>
      <color rgb="FF621132"/>
      <color rgb="FFB09A5B"/>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800">
                <a:latin typeface="Arial" panose="020B0604020202020204" pitchFamily="34" charset="0"/>
                <a:cs typeface="Arial" panose="020B0604020202020204" pitchFamily="34" charset="0"/>
              </a:rPr>
              <a:t>Porcentaje de población por tipo de localidad. 2020</a:t>
            </a:r>
          </a:p>
        </c:rich>
      </c:tx>
      <c:layout>
        <c:manualLayout>
          <c:xMode val="edge"/>
          <c:yMode val="edge"/>
          <c:x val="0.15387485114161514"/>
          <c:y val="1.554607421842724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view3D>
      <c:rotX val="30"/>
      <c:rotY val="18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27365057628666E-2"/>
          <c:y val="0.26678773246095489"/>
          <c:w val="0.95284309026589065"/>
          <c:h val="0.59489050750416006"/>
        </c:manualLayout>
      </c:layout>
      <c:pie3DChart>
        <c:varyColors val="1"/>
        <c:ser>
          <c:idx val="0"/>
          <c:order val="0"/>
          <c:spPr>
            <a:ln>
              <a:noFill/>
            </a:ln>
          </c:spPr>
          <c:explosion val="5"/>
          <c:dPt>
            <c:idx val="0"/>
            <c:bubble3D val="0"/>
            <c:spPr>
              <a:solidFill>
                <a:srgbClr val="009885"/>
              </a:solidFill>
              <a:ln w="25400">
                <a:noFill/>
              </a:ln>
              <a:effectLst/>
              <a:sp3d/>
            </c:spPr>
            <c:extLst>
              <c:ext xmlns:c16="http://schemas.microsoft.com/office/drawing/2014/chart" uri="{C3380CC4-5D6E-409C-BE32-E72D297353CC}">
                <c16:uniqueId val="{00000001-D5C2-4619-84E9-2B605FC1D611}"/>
              </c:ext>
            </c:extLst>
          </c:dPt>
          <c:dPt>
            <c:idx val="1"/>
            <c:bubble3D val="0"/>
            <c:spPr>
              <a:solidFill>
                <a:srgbClr val="D3C2B4"/>
              </a:solidFill>
              <a:ln w="25400">
                <a:noFill/>
              </a:ln>
              <a:effectLst/>
              <a:sp3d/>
            </c:spPr>
            <c:extLst>
              <c:ext xmlns:c16="http://schemas.microsoft.com/office/drawing/2014/chart" uri="{C3380CC4-5D6E-409C-BE32-E72D297353CC}">
                <c16:uniqueId val="{00000003-D5C2-4619-84E9-2B605FC1D611}"/>
              </c:ext>
            </c:extLst>
          </c:dPt>
          <c:dLbls>
            <c:dLbl>
              <c:idx val="0"/>
              <c:layout>
                <c:manualLayout>
                  <c:x val="2.8577789619290755E-3"/>
                  <c:y val="0.2118015234494137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C2-4619-84E9-2B605FC1D611}"/>
                </c:ext>
              </c:extLst>
            </c:dLbl>
            <c:dLbl>
              <c:idx val="1"/>
              <c:layout>
                <c:manualLayout>
                  <c:x val="4.5887334893006657E-2"/>
                  <c:y val="-0.30801354850809187"/>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C2-4619-84E9-2B605FC1D611}"/>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'POBLACIÓN TOTAL'!$K$9:$K$10</c:f>
              <c:strCache>
                <c:ptCount val="2"/>
                <c:pt idx="0">
                  <c:v>Urbana</c:v>
                </c:pt>
                <c:pt idx="1">
                  <c:v>Rural</c:v>
                </c:pt>
              </c:strCache>
            </c:strRef>
          </c:cat>
          <c:val>
            <c:numRef>
              <c:f>'POBLACIÓN TOTAL'!$M$9:$M$10</c:f>
              <c:numCache>
                <c:formatCode>0.00%</c:formatCode>
                <c:ptCount val="2"/>
                <c:pt idx="0">
                  <c:v>0.27138000462091955</c:v>
                </c:pt>
                <c:pt idx="1">
                  <c:v>0.7286199953790804</c:v>
                </c:pt>
              </c:numCache>
            </c:numRef>
          </c:val>
          <c:extLst>
            <c:ext xmlns:c16="http://schemas.microsoft.com/office/drawing/2014/chart" uri="{C3380CC4-5D6E-409C-BE32-E72D297353CC}">
              <c16:uniqueId val="{00000004-D5C2-4619-84E9-2B605FC1D611}"/>
            </c:ext>
          </c:extLst>
        </c:ser>
        <c:dLbls>
          <c:showLegendKey val="0"/>
          <c:showVal val="0"/>
          <c:showCatName val="0"/>
          <c:showSerName val="0"/>
          <c:showPercent val="0"/>
          <c:showBubbleSize val="0"/>
          <c:showLeaderLines val="0"/>
        </c:dLbls>
      </c:pie3DChart>
      <c:spPr>
        <a:noFill/>
        <a:ln>
          <a:noFill/>
        </a:ln>
        <a:effectLst/>
      </c:spPr>
    </c:plotArea>
    <c:legend>
      <c:legendPos val="b"/>
      <c:layout>
        <c:manualLayout>
          <c:xMode val="edge"/>
          <c:yMode val="edge"/>
          <c:x val="5.604977628361258E-2"/>
          <c:y val="0.85762917471767652"/>
          <c:w val="0.85678046879977265"/>
          <c:h val="0.11127867684546897"/>
        </c:manualLayout>
      </c:layout>
      <c:overlay val="1"/>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1000">
                <a:latin typeface="Arial" panose="020B0604020202020204" pitchFamily="34" charset="0"/>
                <a:cs typeface="Arial" panose="020B0604020202020204" pitchFamily="34" charset="0"/>
              </a:rPr>
              <a:t>Porcentaje</a:t>
            </a:r>
            <a:r>
              <a:rPr lang="es-MX" sz="1000" baseline="0">
                <a:latin typeface="Arial" panose="020B0604020202020204" pitchFamily="34" charset="0"/>
                <a:cs typeface="Arial" panose="020B0604020202020204" pitchFamily="34" charset="0"/>
              </a:rPr>
              <a:t> de población masculina de 3 años y más hablante de lengua indígena por condición de habla español. 2020</a:t>
            </a:r>
            <a:endParaRPr lang="es-MX" sz="100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1419953624678032E-2"/>
          <c:y val="0.26981299212598425"/>
          <c:w val="0.95580811139866262"/>
          <c:h val="0.5734058763487897"/>
        </c:manualLayout>
      </c:layout>
      <c:pie3DChart>
        <c:varyColors val="1"/>
        <c:ser>
          <c:idx val="0"/>
          <c:order val="0"/>
          <c:spPr>
            <a:solidFill>
              <a:srgbClr val="B09A5B"/>
            </a:solidFill>
          </c:spPr>
          <c:dPt>
            <c:idx val="0"/>
            <c:bubble3D val="0"/>
            <c:spPr>
              <a:solidFill>
                <a:srgbClr val="D3C2B4"/>
              </a:solidFill>
              <a:ln w="25400">
                <a:solidFill>
                  <a:schemeClr val="lt1"/>
                </a:solidFill>
              </a:ln>
              <a:effectLst/>
              <a:sp3d contourW="25400">
                <a:contourClr>
                  <a:schemeClr val="lt1"/>
                </a:contourClr>
              </a:sp3d>
            </c:spPr>
            <c:extLst>
              <c:ext xmlns:c16="http://schemas.microsoft.com/office/drawing/2014/chart" uri="{C3380CC4-5D6E-409C-BE32-E72D297353CC}">
                <c16:uniqueId val="{00000001-A837-4996-8D85-B641090874FF}"/>
              </c:ext>
            </c:extLst>
          </c:dPt>
          <c:dPt>
            <c:idx val="1"/>
            <c:bubble3D val="0"/>
            <c:spPr>
              <a:solidFill>
                <a:srgbClr val="009885"/>
              </a:solidFill>
              <a:ln w="25400">
                <a:solidFill>
                  <a:schemeClr val="lt1"/>
                </a:solidFill>
              </a:ln>
              <a:effectLst/>
              <a:sp3d contourW="25400">
                <a:contourClr>
                  <a:schemeClr val="lt1"/>
                </a:contourClr>
              </a:sp3d>
            </c:spPr>
            <c:extLst>
              <c:ext xmlns:c16="http://schemas.microsoft.com/office/drawing/2014/chart" uri="{C3380CC4-5D6E-409C-BE32-E72D297353CC}">
                <c16:uniqueId val="{00000003-A837-4996-8D85-B641090874FF}"/>
              </c:ext>
            </c:extLst>
          </c:dPt>
          <c:dLbls>
            <c:dLbl>
              <c:idx val="0"/>
              <c:layout>
                <c:manualLayout>
                  <c:x val="-0.23434025292293009"/>
                  <c:y val="-0.10238626421697287"/>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37-4996-8D85-B641090874FF}"/>
                </c:ext>
              </c:extLst>
            </c:dLbl>
            <c:dLbl>
              <c:idx val="1"/>
              <c:layout>
                <c:manualLayout>
                  <c:x val="0.20996151704813121"/>
                  <c:y val="7.82480314960629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37-4996-8D85-B641090874F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('POBLACIÓN INDÍGENA'!$N$16,'POBLACIÓN INDÍGENA'!$N$19)</c:f>
              <c:strCache>
                <c:ptCount val="2"/>
                <c:pt idx="0">
                  <c:v>Hombres que hablan español</c:v>
                </c:pt>
                <c:pt idx="1">
                  <c:v>Hombres que no hablan español</c:v>
                </c:pt>
              </c:strCache>
            </c:strRef>
          </c:cat>
          <c:val>
            <c:numRef>
              <c:f>('POBLACIÓN INDÍGENA'!$P$16,'POBLACIÓN INDÍGENA'!$P$19)</c:f>
              <c:numCache>
                <c:formatCode>0.00%</c:formatCode>
                <c:ptCount val="2"/>
                <c:pt idx="0">
                  <c:v>0.57246376811594202</c:v>
                </c:pt>
                <c:pt idx="1">
                  <c:v>0.75</c:v>
                </c:pt>
              </c:numCache>
            </c:numRef>
          </c:val>
          <c:extLst>
            <c:ext xmlns:c16="http://schemas.microsoft.com/office/drawing/2014/chart" uri="{C3380CC4-5D6E-409C-BE32-E72D297353CC}">
              <c16:uniqueId val="{00000000-440C-4174-A7F2-DF7CE4D77E9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1050">
                <a:latin typeface="Arial" panose="020B0604020202020204" pitchFamily="34" charset="0"/>
                <a:cs typeface="Arial" panose="020B0604020202020204" pitchFamily="34" charset="0"/>
              </a:rPr>
              <a:t>Porcentaje de hogares por sexo del jefe. 2020</a:t>
            </a:r>
          </a:p>
        </c:rich>
      </c:tx>
      <c:layout>
        <c:manualLayout>
          <c:xMode val="edge"/>
          <c:yMode val="edge"/>
          <c:x val="0.15387485114161514"/>
          <c:y val="1.554607421842724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view3D>
      <c:rotX val="30"/>
      <c:rotY val="201"/>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37749435830639E-2"/>
          <c:y val="0.32156693069145553"/>
          <c:w val="0.88353075245070034"/>
          <c:h val="0.5392091999463603"/>
        </c:manualLayout>
      </c:layout>
      <c:pie3DChart>
        <c:varyColors val="1"/>
        <c:ser>
          <c:idx val="0"/>
          <c:order val="0"/>
          <c:spPr>
            <a:ln>
              <a:noFill/>
            </a:ln>
          </c:spPr>
          <c:explosion val="5"/>
          <c:dPt>
            <c:idx val="0"/>
            <c:bubble3D val="0"/>
            <c:spPr>
              <a:solidFill>
                <a:srgbClr val="009885"/>
              </a:solidFill>
              <a:ln w="25400">
                <a:noFill/>
              </a:ln>
              <a:effectLst/>
              <a:sp3d>
                <a:contourClr>
                  <a:srgbClr val="595959"/>
                </a:contourClr>
              </a:sp3d>
            </c:spPr>
            <c:extLst>
              <c:ext xmlns:c16="http://schemas.microsoft.com/office/drawing/2014/chart" uri="{C3380CC4-5D6E-409C-BE32-E72D297353CC}">
                <c16:uniqueId val="{00000001-B1F1-4606-BB2B-F2948CE42B6C}"/>
              </c:ext>
            </c:extLst>
          </c:dPt>
          <c:dPt>
            <c:idx val="1"/>
            <c:bubble3D val="0"/>
            <c:spPr>
              <a:solidFill>
                <a:srgbClr val="D3C2B4"/>
              </a:solidFill>
              <a:ln w="25400">
                <a:noFill/>
              </a:ln>
              <a:effectLst/>
              <a:sp3d>
                <a:contourClr>
                  <a:srgbClr val="B09A5B"/>
                </a:contourClr>
              </a:sp3d>
            </c:spPr>
            <c:extLst>
              <c:ext xmlns:c16="http://schemas.microsoft.com/office/drawing/2014/chart" uri="{C3380CC4-5D6E-409C-BE32-E72D297353CC}">
                <c16:uniqueId val="{00000003-B1F1-4606-BB2B-F2948CE42B6C}"/>
              </c:ext>
            </c:extLst>
          </c:dPt>
          <c:dLbls>
            <c:dLbl>
              <c:idx val="0"/>
              <c:layout>
                <c:manualLayout>
                  <c:x val="2.6360153256704981E-2"/>
                  <c:y val="5.212966800202605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F1-4606-BB2B-F2948CE42B6C}"/>
                </c:ext>
              </c:extLst>
            </c:dLbl>
            <c:dLbl>
              <c:idx val="1"/>
              <c:layout>
                <c:manualLayout>
                  <c:x val="-0.21529216501178225"/>
                  <c:y val="7.7394202129228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F1-4606-BB2B-F2948CE42B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HOGARES!$B$10:$B$11</c:f>
              <c:strCache>
                <c:ptCount val="2"/>
                <c:pt idx="0">
                  <c:v>Mujer</c:v>
                </c:pt>
                <c:pt idx="1">
                  <c:v>Hombre</c:v>
                </c:pt>
              </c:strCache>
            </c:strRef>
          </c:cat>
          <c:val>
            <c:numRef>
              <c:f>HOGARES!$D$10:$D$11</c:f>
              <c:numCache>
                <c:formatCode>0.00%</c:formatCode>
                <c:ptCount val="2"/>
                <c:pt idx="0">
                  <c:v>0.30980596431827062</c:v>
                </c:pt>
                <c:pt idx="1">
                  <c:v>0.69019403568172943</c:v>
                </c:pt>
              </c:numCache>
            </c:numRef>
          </c:val>
          <c:extLst>
            <c:ext xmlns:c16="http://schemas.microsoft.com/office/drawing/2014/chart" uri="{C3380CC4-5D6E-409C-BE32-E72D297353CC}">
              <c16:uniqueId val="{00000004-B1F1-4606-BB2B-F2948CE42B6C}"/>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5.604977628361258E-2"/>
          <c:y val="0.85762917471767652"/>
          <c:w val="0.85678046879977265"/>
          <c:h val="0.11127867684546897"/>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1000">
                <a:latin typeface="Arial" panose="020B0604020202020204" pitchFamily="34" charset="0"/>
                <a:cs typeface="Arial" panose="020B0604020202020204" pitchFamily="34" charset="0"/>
              </a:rPr>
              <a:t>Porcentaje de hogares por tipo de hogar. 2020</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HOGARES!$F$28</c:f>
              <c:strCache>
                <c:ptCount val="1"/>
                <c:pt idx="0">
                  <c:v>Familiar nuclear</c:v>
                </c:pt>
              </c:strCache>
            </c:strRef>
          </c:tx>
          <c:spPr>
            <a:solidFill>
              <a:srgbClr val="D3C2B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HOGARES!$H$28</c:f>
              <c:numCache>
                <c:formatCode>0.00%</c:formatCode>
                <c:ptCount val="1"/>
                <c:pt idx="0">
                  <c:v>0.60614743422766348</c:v>
                </c:pt>
              </c:numCache>
            </c:numRef>
          </c:val>
          <c:extLst>
            <c:ext xmlns:c16="http://schemas.microsoft.com/office/drawing/2014/chart" uri="{C3380CC4-5D6E-409C-BE32-E72D297353CC}">
              <c16:uniqueId val="{00000000-E7D6-42D3-A18E-9A225EBFA237}"/>
            </c:ext>
          </c:extLst>
        </c:ser>
        <c:ser>
          <c:idx val="1"/>
          <c:order val="1"/>
          <c:tx>
            <c:strRef>
              <c:f>HOGARES!$F$29</c:f>
              <c:strCache>
                <c:ptCount val="1"/>
                <c:pt idx="0">
                  <c:v>Familiar ampliado</c:v>
                </c:pt>
              </c:strCache>
            </c:strRef>
          </c:tx>
          <c:spPr>
            <a:solidFill>
              <a:srgbClr val="00988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HOGARES!$H$29</c:f>
              <c:numCache>
                <c:formatCode>0.00%</c:formatCode>
                <c:ptCount val="1"/>
                <c:pt idx="0">
                  <c:v>0.26960145871320657</c:v>
                </c:pt>
              </c:numCache>
            </c:numRef>
          </c:val>
          <c:extLst>
            <c:ext xmlns:c16="http://schemas.microsoft.com/office/drawing/2014/chart" uri="{C3380CC4-5D6E-409C-BE32-E72D297353CC}">
              <c16:uniqueId val="{00000001-E7D6-42D3-A18E-9A225EBFA237}"/>
            </c:ext>
          </c:extLst>
        </c:ser>
        <c:ser>
          <c:idx val="2"/>
          <c:order val="2"/>
          <c:tx>
            <c:strRef>
              <c:f>HOGARES!$F$30</c:f>
              <c:strCache>
                <c:ptCount val="1"/>
                <c:pt idx="0">
                  <c:v>Familiar compuesto</c:v>
                </c:pt>
              </c:strCache>
            </c:strRef>
          </c:tx>
          <c:spPr>
            <a:solidFill>
              <a:srgbClr val="C9016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HOGARES!$H$30</c:f>
              <c:numCache>
                <c:formatCode>0.00%</c:formatCode>
                <c:ptCount val="1"/>
                <c:pt idx="0">
                  <c:v>8.0750195363375882E-3</c:v>
                </c:pt>
              </c:numCache>
            </c:numRef>
          </c:val>
          <c:extLst>
            <c:ext xmlns:c16="http://schemas.microsoft.com/office/drawing/2014/chart" uri="{C3380CC4-5D6E-409C-BE32-E72D297353CC}">
              <c16:uniqueId val="{00000002-E7D6-42D3-A18E-9A225EBFA237}"/>
            </c:ext>
          </c:extLst>
        </c:ser>
        <c:ser>
          <c:idx val="3"/>
          <c:order val="3"/>
          <c:tx>
            <c:strRef>
              <c:f>HOGARES!$F$31</c:f>
              <c:strCache>
                <c:ptCount val="1"/>
                <c:pt idx="0">
                  <c:v>No familiar unipersonal</c:v>
                </c:pt>
              </c:strCache>
            </c:strRef>
          </c:tx>
          <c:spPr>
            <a:solidFill>
              <a:srgbClr val="AE192D"/>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HOGARES!$H$31</c:f>
              <c:numCache>
                <c:formatCode>0.00%</c:formatCode>
                <c:ptCount val="1"/>
                <c:pt idx="0">
                  <c:v>0.11383172701224277</c:v>
                </c:pt>
              </c:numCache>
            </c:numRef>
          </c:val>
          <c:extLst>
            <c:ext xmlns:c16="http://schemas.microsoft.com/office/drawing/2014/chart" uri="{C3380CC4-5D6E-409C-BE32-E72D297353CC}">
              <c16:uniqueId val="{00000003-E7D6-42D3-A18E-9A225EBFA237}"/>
            </c:ext>
          </c:extLst>
        </c:ser>
        <c:ser>
          <c:idx val="4"/>
          <c:order val="4"/>
          <c:tx>
            <c:strRef>
              <c:f>HOGARES!$F$32</c:f>
              <c:strCache>
                <c:ptCount val="1"/>
                <c:pt idx="0">
                  <c:v>No familiar de corresidente</c:v>
                </c:pt>
              </c:strCache>
            </c:strRef>
          </c:tx>
          <c:spPr>
            <a:solidFill>
              <a:srgbClr val="009885">
                <a:alpha val="50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HOGARES!$H$32</c:f>
              <c:numCache>
                <c:formatCode>0.00%</c:formatCode>
                <c:ptCount val="1"/>
                <c:pt idx="0">
                  <c:v>2.3443605105496223E-3</c:v>
                </c:pt>
              </c:numCache>
            </c:numRef>
          </c:val>
          <c:extLst>
            <c:ext xmlns:c16="http://schemas.microsoft.com/office/drawing/2014/chart" uri="{C3380CC4-5D6E-409C-BE32-E72D297353CC}">
              <c16:uniqueId val="{00000004-E7D6-42D3-A18E-9A225EBFA237}"/>
            </c:ext>
          </c:extLst>
        </c:ser>
        <c:dLbls>
          <c:showLegendKey val="0"/>
          <c:showVal val="0"/>
          <c:showCatName val="0"/>
          <c:showSerName val="0"/>
          <c:showPercent val="0"/>
          <c:showBubbleSize val="0"/>
        </c:dLbls>
        <c:gapWidth val="50"/>
        <c:overlap val="-27"/>
        <c:axId val="649756264"/>
        <c:axId val="649752984"/>
      </c:barChart>
      <c:catAx>
        <c:axId val="649756264"/>
        <c:scaling>
          <c:orientation val="minMax"/>
        </c:scaling>
        <c:delete val="1"/>
        <c:axPos val="b"/>
        <c:numFmt formatCode="General" sourceLinked="1"/>
        <c:majorTickMark val="none"/>
        <c:minorTickMark val="none"/>
        <c:tickLblPos val="nextTo"/>
        <c:crossAx val="649752984"/>
        <c:crosses val="autoZero"/>
        <c:auto val="1"/>
        <c:lblAlgn val="ctr"/>
        <c:lblOffset val="100"/>
        <c:noMultiLvlLbl val="0"/>
      </c:catAx>
      <c:valAx>
        <c:axId val="649752984"/>
        <c:scaling>
          <c:orientation val="minMax"/>
        </c:scaling>
        <c:delete val="1"/>
        <c:axPos val="l"/>
        <c:numFmt formatCode="0.00%" sourceLinked="1"/>
        <c:majorTickMark val="none"/>
        <c:minorTickMark val="none"/>
        <c:tickLblPos val="nextTo"/>
        <c:crossAx val="649756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1400">
                <a:latin typeface="Arial" panose="020B0604020202020204" pitchFamily="34" charset="0"/>
                <a:cs typeface="Arial" panose="020B0604020202020204" pitchFamily="34" charset="0"/>
              </a:rPr>
              <a:t>Población por tamaño de localidad. 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3.0807860791298169E-2"/>
          <c:y val="8.1585258081551454E-2"/>
          <c:w val="0.92932938150063171"/>
          <c:h val="0.71645940229753646"/>
        </c:manualLayout>
      </c:layout>
      <c:doughnutChart>
        <c:varyColors val="1"/>
        <c:ser>
          <c:idx val="0"/>
          <c:order val="0"/>
          <c:spPr>
            <a:scene3d>
              <a:camera prst="orthographicFront"/>
              <a:lightRig rig="twoPt" dir="t"/>
            </a:scene3d>
            <a:sp3d prstMaterial="matte">
              <a:bevelT w="165100" prst="coolSlant"/>
            </a:sp3d>
          </c:spPr>
          <c:explosion val="5"/>
          <c:dPt>
            <c:idx val="0"/>
            <c:bubble3D val="0"/>
            <c:spPr>
              <a:solidFill>
                <a:srgbClr val="D3C2B4">
                  <a:alpha val="50000"/>
                </a:srgbClr>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4-A269-48A8-AB0D-21DF2F7BE7AA}"/>
              </c:ext>
            </c:extLst>
          </c:dPt>
          <c:dPt>
            <c:idx val="1"/>
            <c:bubble3D val="0"/>
            <c:spPr>
              <a:solidFill>
                <a:srgbClr val="595959"/>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5-A269-48A8-AB0D-21DF2F7BE7AA}"/>
              </c:ext>
            </c:extLst>
          </c:dPt>
          <c:dPt>
            <c:idx val="2"/>
            <c:bubble3D val="0"/>
            <c:spPr>
              <a:solidFill>
                <a:srgbClr val="C90166"/>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6-A269-48A8-AB0D-21DF2F7BE7AA}"/>
              </c:ext>
            </c:extLst>
          </c:dPt>
          <c:dPt>
            <c:idx val="3"/>
            <c:bubble3D val="0"/>
            <c:spPr>
              <a:solidFill>
                <a:srgbClr val="D3C2B4"/>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7-A269-48A8-AB0D-21DF2F7BE7AA}"/>
              </c:ext>
            </c:extLst>
          </c:dPt>
          <c:dPt>
            <c:idx val="4"/>
            <c:bubble3D val="0"/>
            <c:spPr>
              <a:solidFill>
                <a:srgbClr val="C90166">
                  <a:alpha val="50000"/>
                </a:srgbClr>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8-A269-48A8-AB0D-21DF2F7BE7AA}"/>
              </c:ext>
            </c:extLst>
          </c:dPt>
          <c:dPt>
            <c:idx val="5"/>
            <c:bubble3D val="0"/>
            <c:spPr>
              <a:solidFill>
                <a:srgbClr val="009885">
                  <a:alpha val="50000"/>
                </a:srgbClr>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9-A269-48A8-AB0D-21DF2F7BE7AA}"/>
              </c:ext>
            </c:extLst>
          </c:dPt>
          <c:dPt>
            <c:idx val="6"/>
            <c:bubble3D val="0"/>
            <c:spPr>
              <a:solidFill>
                <a:srgbClr val="AE192D"/>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A-A269-48A8-AB0D-21DF2F7BE7AA}"/>
              </c:ext>
            </c:extLst>
          </c:dPt>
          <c:dPt>
            <c:idx val="7"/>
            <c:bubble3D val="0"/>
            <c:spPr>
              <a:solidFill>
                <a:schemeClr val="bg1">
                  <a:lumMod val="75000"/>
                </a:schemeClr>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B-A269-48A8-AB0D-21DF2F7BE7AA}"/>
              </c:ext>
            </c:extLst>
          </c:dPt>
          <c:dPt>
            <c:idx val="8"/>
            <c:bubble3D val="0"/>
            <c:spPr>
              <a:solidFill>
                <a:srgbClr val="009885"/>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C-A269-48A8-AB0D-21DF2F7BE7AA}"/>
              </c:ext>
            </c:extLst>
          </c:dPt>
          <c:dLbls>
            <c:dLbl>
              <c:idx val="0"/>
              <c:layout>
                <c:manualLayout>
                  <c:x val="-0.2376910440652637"/>
                  <c:y val="-6.2827233764443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69-48A8-AB0D-21DF2F7BE7AA}"/>
                </c:ext>
              </c:extLst>
            </c:dLbl>
            <c:dLbl>
              <c:idx val="1"/>
              <c:layout>
                <c:manualLayout>
                  <c:x val="-6.7911726875789627E-2"/>
                  <c:y val="-0.115183261901480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69-48A8-AB0D-21DF2F7BE7AA}"/>
                </c:ext>
              </c:extLst>
            </c:dLbl>
            <c:dLbl>
              <c:idx val="2"/>
              <c:layout>
                <c:manualLayout>
                  <c:x val="-8.3002262887852479E-17"/>
                  <c:y val="-0.144851677845800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69-48A8-AB0D-21DF2F7BE7AA}"/>
                </c:ext>
              </c:extLst>
            </c:dLbl>
            <c:dLbl>
              <c:idx val="3"/>
              <c:layout>
                <c:manualLayout>
                  <c:x val="-0.16525186873108819"/>
                  <c:y val="-9.4240850646665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69-48A8-AB0D-21DF2F7BE7AA}"/>
                </c:ext>
              </c:extLst>
            </c:dLbl>
            <c:dLbl>
              <c:idx val="4"/>
              <c:layout>
                <c:manualLayout>
                  <c:x val="7.4702899563368591E-2"/>
                  <c:y val="-0.143106476907899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69-48A8-AB0D-21DF2F7BE7AA}"/>
                </c:ext>
              </c:extLst>
            </c:dLbl>
            <c:dLbl>
              <c:idx val="5"/>
              <c:layout>
                <c:manualLayout>
                  <c:x val="0.11544993568884229"/>
                  <c:y val="-0.13089007034259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69-48A8-AB0D-21DF2F7BE7AA}"/>
                </c:ext>
              </c:extLst>
            </c:dLbl>
            <c:dLbl>
              <c:idx val="6"/>
              <c:layout>
                <c:manualLayout>
                  <c:x val="0.14714207489754411"/>
                  <c:y val="-0.1047120562740729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69-48A8-AB0D-21DF2F7BE7AA}"/>
                </c:ext>
              </c:extLst>
            </c:dLbl>
            <c:dLbl>
              <c:idx val="7"/>
              <c:layout>
                <c:manualLayout>
                  <c:x val="0.25806456212800044"/>
                  <c:y val="-6.80628365781474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69-48A8-AB0D-21DF2F7BE7AA}"/>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'TAMAÑO DE LOCALIDADES'!$B$10:$B$18</c:f>
              <c:strCache>
                <c:ptCount val="9"/>
                <c:pt idx="0">
                  <c:v>De 1 a 99 habitantes</c:v>
                </c:pt>
                <c:pt idx="1">
                  <c:v>De 100 a 249 habitantes</c:v>
                </c:pt>
                <c:pt idx="2">
                  <c:v>De 250 a 499 habitantes</c:v>
                </c:pt>
                <c:pt idx="3">
                  <c:v>De 500 a 2,499 habitantes</c:v>
                </c:pt>
                <c:pt idx="4">
                  <c:v>De 2,500 a 4,999 habitantes</c:v>
                </c:pt>
                <c:pt idx="5">
                  <c:v>De 5,000 a 9,999 habitantes</c:v>
                </c:pt>
                <c:pt idx="6">
                  <c:v>De 10,000 a 49,999 habitantes</c:v>
                </c:pt>
                <c:pt idx="7">
                  <c:v>De 50,000 a 99,999 habitantes</c:v>
                </c:pt>
                <c:pt idx="8">
                  <c:v>De 100,000 y más habitantes</c:v>
                </c:pt>
              </c:strCache>
            </c:strRef>
          </c:cat>
          <c:val>
            <c:numRef>
              <c:f>'TAMAÑO DE LOCALIDADES'!$D$10:$D$18</c:f>
              <c:numCache>
                <c:formatCode>0.00%</c:formatCode>
                <c:ptCount val="9"/>
                <c:pt idx="0">
                  <c:v>6.1293197346271908E-2</c:v>
                </c:pt>
                <c:pt idx="1">
                  <c:v>0.11228834538073076</c:v>
                </c:pt>
                <c:pt idx="2">
                  <c:v>0.1959599960392118</c:v>
                </c:pt>
                <c:pt idx="3">
                  <c:v>0.35907845661286597</c:v>
                </c:pt>
                <c:pt idx="4">
                  <c:v>0</c:v>
                </c:pt>
                <c:pt idx="5">
                  <c:v>0.27138000462091955</c:v>
                </c:pt>
                <c:pt idx="6">
                  <c:v>0</c:v>
                </c:pt>
                <c:pt idx="7">
                  <c:v>0</c:v>
                </c:pt>
                <c:pt idx="8">
                  <c:v>0</c:v>
                </c:pt>
              </c:numCache>
            </c:numRef>
          </c:val>
          <c:extLst>
            <c:ext xmlns:c16="http://schemas.microsoft.com/office/drawing/2014/chart" uri="{C3380CC4-5D6E-409C-BE32-E72D297353CC}">
              <c16:uniqueId val="{00000000-8BD1-4FA1-8BF0-434158B51ADE}"/>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b"/>
      <c:layout>
        <c:manualLayout>
          <c:xMode val="edge"/>
          <c:yMode val="edge"/>
          <c:x val="2.9247010790317888E-2"/>
          <c:y val="0.8513477387991587"/>
          <c:w val="0.94150597841936434"/>
          <c:h val="0.128551851663907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1400" b="0" i="0" u="none" strike="noStrike" baseline="0">
                <a:effectLst/>
                <a:latin typeface="Arial" panose="020B0604020202020204" pitchFamily="34" charset="0"/>
                <a:cs typeface="Arial" panose="020B0604020202020204" pitchFamily="34" charset="0"/>
              </a:rPr>
              <a:t>Número de localidades por tamaño de p</a:t>
            </a:r>
            <a:r>
              <a:rPr lang="es-MX" sz="1400">
                <a:latin typeface="Arial" panose="020B0604020202020204" pitchFamily="34" charset="0"/>
                <a:cs typeface="Arial" panose="020B0604020202020204" pitchFamily="34" charset="0"/>
              </a:rPr>
              <a:t>oblación. 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doughnutChart>
        <c:varyColors val="1"/>
        <c:ser>
          <c:idx val="0"/>
          <c:order val="0"/>
          <c:spPr>
            <a:scene3d>
              <a:camera prst="orthographicFront"/>
              <a:lightRig rig="twoPt" dir="t"/>
            </a:scene3d>
            <a:sp3d prstMaterial="matte">
              <a:bevelT w="165100" prst="coolSlant"/>
            </a:sp3d>
          </c:spPr>
          <c:explosion val="5"/>
          <c:dPt>
            <c:idx val="0"/>
            <c:bubble3D val="0"/>
            <c:spPr>
              <a:solidFill>
                <a:srgbClr val="C90166"/>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2-71EA-4013-8991-898809A9C0C5}"/>
              </c:ext>
            </c:extLst>
          </c:dPt>
          <c:dPt>
            <c:idx val="1"/>
            <c:bubble3D val="0"/>
            <c:spPr>
              <a:solidFill>
                <a:srgbClr val="D3C2B4"/>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3-71EA-4013-8991-898809A9C0C5}"/>
              </c:ext>
            </c:extLst>
          </c:dPt>
          <c:dPt>
            <c:idx val="2"/>
            <c:bubble3D val="0"/>
            <c:spPr>
              <a:solidFill>
                <a:srgbClr val="009885"/>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4-71EA-4013-8991-898809A9C0C5}"/>
              </c:ext>
            </c:extLst>
          </c:dPt>
          <c:dPt>
            <c:idx val="3"/>
            <c:bubble3D val="0"/>
            <c:spPr>
              <a:solidFill>
                <a:srgbClr val="AE192D"/>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5-71EA-4013-8991-898809A9C0C5}"/>
              </c:ext>
            </c:extLst>
          </c:dPt>
          <c:dPt>
            <c:idx val="4"/>
            <c:bubble3D val="0"/>
            <c:spPr>
              <a:solidFill>
                <a:srgbClr val="AE192D">
                  <a:alpha val="50000"/>
                </a:srgbClr>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6-71EA-4013-8991-898809A9C0C5}"/>
              </c:ext>
            </c:extLst>
          </c:dPt>
          <c:dPt>
            <c:idx val="5"/>
            <c:bubble3D val="0"/>
            <c:spPr>
              <a:solidFill>
                <a:srgbClr val="009885">
                  <a:alpha val="50000"/>
                </a:srgbClr>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A-71EA-4013-8991-898809A9C0C5}"/>
              </c:ext>
            </c:extLst>
          </c:dPt>
          <c:dPt>
            <c:idx val="6"/>
            <c:bubble3D val="0"/>
            <c:spPr>
              <a:solidFill>
                <a:srgbClr val="C90166">
                  <a:alpha val="50000"/>
                </a:srgbClr>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9-71EA-4013-8991-898809A9C0C5}"/>
              </c:ext>
            </c:extLst>
          </c:dPt>
          <c:dPt>
            <c:idx val="7"/>
            <c:bubble3D val="0"/>
            <c:spPr>
              <a:solidFill>
                <a:schemeClr val="accent2">
                  <a:lumMod val="60000"/>
                </a:schemeClr>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8-71EA-4013-8991-898809A9C0C5}"/>
              </c:ext>
            </c:extLst>
          </c:dPt>
          <c:dPt>
            <c:idx val="8"/>
            <c:bubble3D val="0"/>
            <c:explosion val="12"/>
            <c:spPr>
              <a:solidFill>
                <a:schemeClr val="accent3">
                  <a:lumMod val="60000"/>
                </a:schemeClr>
              </a:solidFill>
              <a:ln>
                <a:noFill/>
              </a:ln>
              <a:effectLst/>
              <a:scene3d>
                <a:camera prst="orthographicFront"/>
                <a:lightRig rig="twoPt" dir="t"/>
              </a:scene3d>
              <a:sp3d prstMaterial="matte">
                <a:bevelT w="165100" prst="coolSlant"/>
              </a:sp3d>
            </c:spPr>
            <c:extLst>
              <c:ext xmlns:c16="http://schemas.microsoft.com/office/drawing/2014/chart" uri="{C3380CC4-5D6E-409C-BE32-E72D297353CC}">
                <c16:uniqueId val="{00000007-71EA-4013-8991-898809A9C0C5}"/>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extLst>
                <c:ext xmlns:c16="http://schemas.microsoft.com/office/drawing/2014/chart" uri="{C3380CC4-5D6E-409C-BE32-E72D297353CC}">
                  <c16:uniqueId val="{00000002-71EA-4013-8991-898809A9C0C5}"/>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extLst>
                <c:ext xmlns:c16="http://schemas.microsoft.com/office/drawing/2014/chart" uri="{C3380CC4-5D6E-409C-BE32-E72D297353CC}">
                  <c16:uniqueId val="{00000003-71EA-4013-8991-898809A9C0C5}"/>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extLst>
                <c:ext xmlns:c16="http://schemas.microsoft.com/office/drawing/2014/chart" uri="{C3380CC4-5D6E-409C-BE32-E72D297353CC}">
                  <c16:uniqueId val="{00000004-71EA-4013-8991-898809A9C0C5}"/>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extLst>
                <c:ext xmlns:c16="http://schemas.microsoft.com/office/drawing/2014/chart" uri="{C3380CC4-5D6E-409C-BE32-E72D297353CC}">
                  <c16:uniqueId val="{00000005-71EA-4013-8991-898809A9C0C5}"/>
                </c:ext>
              </c:extLst>
            </c:dLbl>
            <c:dLbl>
              <c:idx val="4"/>
              <c:layout>
                <c:manualLayout>
                  <c:x val="-0.21329764340242247"/>
                  <c:y val="5.6463987350016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1EA-4013-8991-898809A9C0C5}"/>
                </c:ext>
              </c:extLst>
            </c:dLbl>
            <c:dLbl>
              <c:idx val="5"/>
              <c:layout>
                <c:manualLayout>
                  <c:x val="-0.22738634138840383"/>
                  <c:y val="1.7626166778122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1EA-4013-8991-898809A9C0C5}"/>
                </c:ext>
              </c:extLst>
            </c:dLbl>
            <c:dLbl>
              <c:idx val="6"/>
              <c:layout>
                <c:manualLayout>
                  <c:x val="-0.20926104563465484"/>
                  <c:y val="-2.77922391794680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1EA-4013-8991-898809A9C0C5}"/>
                </c:ext>
              </c:extLst>
            </c:dLbl>
            <c:dLbl>
              <c:idx val="7"/>
              <c:layout>
                <c:manualLayout>
                  <c:x val="-0.20122114097337759"/>
                  <c:y val="-7.4582631026057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1EA-4013-8991-898809A9C0C5}"/>
                </c:ext>
              </c:extLst>
            </c:dLbl>
            <c:dLbl>
              <c:idx val="8"/>
              <c:layout>
                <c:manualLayout>
                  <c:x val="-0.17708335480066295"/>
                  <c:y val="-0.134182332311269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1EA-4013-8991-898809A9C0C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'TAMAÑO DE LOCALIDADES'!$B$10:$B$18</c:f>
              <c:strCache>
                <c:ptCount val="9"/>
                <c:pt idx="0">
                  <c:v>De 1 a 99 habitantes</c:v>
                </c:pt>
                <c:pt idx="1">
                  <c:v>De 100 a 249 habitantes</c:v>
                </c:pt>
                <c:pt idx="2">
                  <c:v>De 250 a 499 habitantes</c:v>
                </c:pt>
                <c:pt idx="3">
                  <c:v>De 500 a 2,499 habitantes</c:v>
                </c:pt>
                <c:pt idx="4">
                  <c:v>De 2,500 a 4,999 habitantes</c:v>
                </c:pt>
                <c:pt idx="5">
                  <c:v>De 5,000 a 9,999 habitantes</c:v>
                </c:pt>
                <c:pt idx="6">
                  <c:v>De 10,000 a 49,999 habitantes</c:v>
                </c:pt>
                <c:pt idx="7">
                  <c:v>De 50,000 a 99,999 habitantes</c:v>
                </c:pt>
                <c:pt idx="8">
                  <c:v>De 100,000 y más habitantes</c:v>
                </c:pt>
              </c:strCache>
            </c:strRef>
          </c:cat>
          <c:val>
            <c:numRef>
              <c:f>'TAMAÑO DE LOCALIDADES'!$F$10:$F$18</c:f>
              <c:numCache>
                <c:formatCode>0.00%</c:formatCode>
                <c:ptCount val="9"/>
                <c:pt idx="0">
                  <c:v>0.62318840579710144</c:v>
                </c:pt>
                <c:pt idx="1">
                  <c:v>0.15942028985507245</c:v>
                </c:pt>
                <c:pt idx="2">
                  <c:v>0.12318840579710146</c:v>
                </c:pt>
                <c:pt idx="3">
                  <c:v>8.6956521739130432E-2</c:v>
                </c:pt>
                <c:pt idx="4">
                  <c:v>0</c:v>
                </c:pt>
                <c:pt idx="5">
                  <c:v>7.246376811594203E-3</c:v>
                </c:pt>
                <c:pt idx="6">
                  <c:v>0</c:v>
                </c:pt>
                <c:pt idx="7">
                  <c:v>0</c:v>
                </c:pt>
                <c:pt idx="8">
                  <c:v>0</c:v>
                </c:pt>
              </c:numCache>
            </c:numRef>
          </c:val>
          <c:extLst>
            <c:ext xmlns:c16="http://schemas.microsoft.com/office/drawing/2014/chart" uri="{C3380CC4-5D6E-409C-BE32-E72D297353CC}">
              <c16:uniqueId val="{00000000-8D5A-438B-9792-B430B403CA7F}"/>
            </c:ext>
          </c:extLst>
        </c:ser>
        <c:dLbls>
          <c:showLegendKey val="0"/>
          <c:showVal val="0"/>
          <c:showCatName val="0"/>
          <c:showSerName val="0"/>
          <c:showPercent val="0"/>
          <c:showBubbleSize val="0"/>
          <c:showLeaderLines val="1"/>
        </c:dLbls>
        <c:firstSliceAng val="265"/>
        <c:holeSize val="30"/>
      </c:doughnutChart>
      <c:spPr>
        <a:noFill/>
        <a:ln>
          <a:noFill/>
        </a:ln>
        <a:effectLst/>
      </c:spPr>
    </c:plotArea>
    <c:legend>
      <c:legendPos val="b"/>
      <c:layout>
        <c:manualLayout>
          <c:xMode val="edge"/>
          <c:yMode val="edge"/>
          <c:x val="1.1463157702834546E-2"/>
          <c:y val="0.89037727037450098"/>
          <c:w val="0.96902030505537773"/>
          <c:h val="9.6843138598037962E-2"/>
        </c:manualLayout>
      </c:layout>
      <c:overlay val="0"/>
      <c:spPr>
        <a:noFill/>
        <a:ln>
          <a:noFill/>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0" i="0" u="none" strike="noStrike" kern="1200" spc="0" baseline="0">
                <a:solidFill>
                  <a:srgbClr val="595959"/>
                </a:solidFill>
                <a:latin typeface="Arial" panose="020B0604020202020204" pitchFamily="34" charset="0"/>
                <a:ea typeface="+mn-ea"/>
                <a:cs typeface="Arial" panose="020B0604020202020204" pitchFamily="34" charset="0"/>
              </a:defRPr>
            </a:pPr>
            <a:r>
              <a:rPr lang="es-MX" sz="1050">
                <a:latin typeface="Arial" panose="020B0604020202020204" pitchFamily="34" charset="0"/>
                <a:cs typeface="Arial" panose="020B0604020202020204" pitchFamily="34" charset="0"/>
              </a:rPr>
              <a:t>Porcentaje de población </a:t>
            </a:r>
            <a:r>
              <a:rPr lang="es-MX" sz="1050" b="0" i="0" u="none" strike="noStrike" baseline="0">
                <a:effectLst/>
                <a:latin typeface="Arial" panose="020B0604020202020204" pitchFamily="34" charset="0"/>
                <a:cs typeface="Arial" panose="020B0604020202020204" pitchFamily="34" charset="0"/>
              </a:rPr>
              <a:t>con alguna discapacidad o limitación, </a:t>
            </a:r>
            <a:r>
              <a:rPr lang="es-MX" sz="1050">
                <a:latin typeface="Arial" panose="020B0604020202020204" pitchFamily="34" charset="0"/>
                <a:cs typeface="Arial" panose="020B0604020202020204" pitchFamily="34" charset="0"/>
              </a:rPr>
              <a:t>afiliada</a:t>
            </a:r>
            <a:r>
              <a:rPr lang="es-MX" sz="1050" baseline="0">
                <a:latin typeface="Arial" panose="020B0604020202020204" pitchFamily="34" charset="0"/>
                <a:cs typeface="Arial" panose="020B0604020202020204" pitchFamily="34" charset="0"/>
              </a:rPr>
              <a:t> a servicios de salud</a:t>
            </a:r>
            <a:r>
              <a:rPr lang="es-MX" sz="1050">
                <a:latin typeface="Arial" panose="020B0604020202020204" pitchFamily="34" charset="0"/>
                <a:cs typeface="Arial" panose="020B0604020202020204" pitchFamily="34" charset="0"/>
              </a:rPr>
              <a:t>. 2020</a:t>
            </a:r>
          </a:p>
        </c:rich>
      </c:tx>
      <c:layout>
        <c:manualLayout>
          <c:xMode val="edge"/>
          <c:yMode val="edge"/>
          <c:x val="0.14407574059058653"/>
          <c:y val="1.037923433941077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rgbClr val="595959"/>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5.0560143396709563E-2"/>
          <c:y val="0.1396265466816648"/>
          <c:w val="0.91333332919748644"/>
          <c:h val="0.55415996077413399"/>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D3C2B4"/>
              </a:solidFill>
              <a:ln>
                <a:noFill/>
              </a:ln>
              <a:effectLst/>
            </c:spPr>
            <c:extLst>
              <c:ext xmlns:c16="http://schemas.microsoft.com/office/drawing/2014/chart" uri="{C3380CC4-5D6E-409C-BE32-E72D297353CC}">
                <c16:uniqueId val="{00000001-9515-4B09-A862-60989D2A2EEA}"/>
              </c:ext>
            </c:extLst>
          </c:dPt>
          <c:dPt>
            <c:idx val="1"/>
            <c:invertIfNegative val="0"/>
            <c:bubble3D val="0"/>
            <c:spPr>
              <a:solidFill>
                <a:srgbClr val="009885"/>
              </a:solidFill>
              <a:ln>
                <a:noFill/>
              </a:ln>
              <a:effectLst/>
            </c:spPr>
            <c:extLst>
              <c:ext xmlns:c16="http://schemas.microsoft.com/office/drawing/2014/chart" uri="{C3380CC4-5D6E-409C-BE32-E72D297353CC}">
                <c16:uniqueId val="{00000003-9515-4B09-A862-60989D2A2EEA}"/>
              </c:ext>
            </c:extLst>
          </c:dPt>
          <c:dPt>
            <c:idx val="2"/>
            <c:invertIfNegative val="0"/>
            <c:bubble3D val="0"/>
            <c:spPr>
              <a:solidFill>
                <a:srgbClr val="AE192D"/>
              </a:solidFill>
              <a:ln>
                <a:noFill/>
              </a:ln>
              <a:effectLst/>
            </c:spPr>
            <c:extLst>
              <c:ext xmlns:c16="http://schemas.microsoft.com/office/drawing/2014/chart" uri="{C3380CC4-5D6E-409C-BE32-E72D297353CC}">
                <c16:uniqueId val="{00000005-9515-4B09-A862-60989D2A2EEA}"/>
              </c:ext>
            </c:extLst>
          </c:dPt>
          <c:dPt>
            <c:idx val="3"/>
            <c:invertIfNegative val="0"/>
            <c:bubble3D val="0"/>
            <c:spPr>
              <a:solidFill>
                <a:srgbClr val="C90166"/>
              </a:solidFill>
              <a:ln>
                <a:noFill/>
              </a:ln>
              <a:effectLst/>
            </c:spPr>
            <c:extLst>
              <c:ext xmlns:c16="http://schemas.microsoft.com/office/drawing/2014/chart" uri="{C3380CC4-5D6E-409C-BE32-E72D297353CC}">
                <c16:uniqueId val="{00000009-9515-4B09-A862-60989D2A2EEA}"/>
              </c:ext>
            </c:extLst>
          </c:dPt>
          <c:dPt>
            <c:idx val="4"/>
            <c:invertIfNegative val="0"/>
            <c:bubble3D val="0"/>
            <c:spPr>
              <a:solidFill>
                <a:srgbClr val="D3C2B4"/>
              </a:solidFill>
              <a:ln>
                <a:noFill/>
              </a:ln>
              <a:effectLst/>
            </c:spPr>
            <c:extLst>
              <c:ext xmlns:c16="http://schemas.microsoft.com/office/drawing/2014/chart" uri="{C3380CC4-5D6E-409C-BE32-E72D297353CC}">
                <c16:uniqueId val="{0000000A-9515-4B09-A862-60989D2A2EEA}"/>
              </c:ext>
            </c:extLst>
          </c:dPt>
          <c:dPt>
            <c:idx val="5"/>
            <c:invertIfNegative val="0"/>
            <c:bubble3D val="0"/>
            <c:spPr>
              <a:solidFill>
                <a:srgbClr val="009885"/>
              </a:solidFill>
              <a:ln>
                <a:noFill/>
              </a:ln>
              <a:effectLst/>
            </c:spPr>
            <c:extLst>
              <c:ext xmlns:c16="http://schemas.microsoft.com/office/drawing/2014/chart" uri="{C3380CC4-5D6E-409C-BE32-E72D297353CC}">
                <c16:uniqueId val="{0000000D-9515-4B09-A862-60989D2A2EEA}"/>
              </c:ext>
            </c:extLst>
          </c:dPt>
          <c:dPt>
            <c:idx val="6"/>
            <c:invertIfNegative val="0"/>
            <c:bubble3D val="0"/>
            <c:spPr>
              <a:solidFill>
                <a:srgbClr val="AE192D"/>
              </a:solidFill>
              <a:ln>
                <a:noFill/>
              </a:ln>
              <a:effectLst/>
            </c:spPr>
            <c:extLst>
              <c:ext xmlns:c16="http://schemas.microsoft.com/office/drawing/2014/chart" uri="{C3380CC4-5D6E-409C-BE32-E72D297353CC}">
                <c16:uniqueId val="{0000000F-9515-4B09-A862-60989D2A2EEA}"/>
              </c:ext>
            </c:extLst>
          </c:dPt>
          <c:dLbls>
            <c:dLbl>
              <c:idx val="1"/>
              <c:layout>
                <c:manualLayout>
                  <c:x val="-3.3069453138154971E-17"/>
                  <c:y val="8.71795294227477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15-4B09-A862-60989D2A2EEA}"/>
                </c:ext>
              </c:extLst>
            </c:dLbl>
            <c:spPr>
              <a:noFill/>
              <a:ln>
                <a:noFill/>
              </a:ln>
              <a:effectLst/>
            </c:spPr>
            <c:txPr>
              <a:bodyPr rot="0" spcFirstLastPara="1" vertOverflow="ellipsis" vert="horz" wrap="square" anchor="ctr" anchorCtr="1"/>
              <a:lstStyle/>
              <a:p>
                <a:pPr>
                  <a:defRPr sz="9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DISCAPACIDAD!$K$9:$K$15</c:f>
              <c:strCache>
                <c:ptCount val="7"/>
                <c:pt idx="0">
                  <c:v>Caminar o moverse</c:v>
                </c:pt>
                <c:pt idx="1">
                  <c:v>Ver</c:v>
                </c:pt>
                <c:pt idx="2">
                  <c:v>Escuchar</c:v>
                </c:pt>
                <c:pt idx="3">
                  <c:v>Hablar o comunicarse</c:v>
                </c:pt>
                <c:pt idx="4">
                  <c:v>Bañarse, vestirse o comer</c:v>
                </c:pt>
                <c:pt idx="5">
                  <c:v>Recordar o concentrarse</c:v>
                </c:pt>
                <c:pt idx="6">
                  <c:v>Mental</c:v>
                </c:pt>
              </c:strCache>
            </c:strRef>
          </c:cat>
          <c:val>
            <c:numRef>
              <c:f>DISCAPACIDAD!$M$9:$M$15</c:f>
              <c:numCache>
                <c:formatCode>0.00%</c:formatCode>
                <c:ptCount val="7"/>
                <c:pt idx="0">
                  <c:v>0.21433542101600556</c:v>
                </c:pt>
                <c:pt idx="1">
                  <c:v>0.36441660867548131</c:v>
                </c:pt>
                <c:pt idx="2">
                  <c:v>0.12758060774762237</c:v>
                </c:pt>
                <c:pt idx="3">
                  <c:v>7.2141034562746467E-2</c:v>
                </c:pt>
                <c:pt idx="4">
                  <c:v>6.5877986546045E-2</c:v>
                </c:pt>
                <c:pt idx="5">
                  <c:v>0.11273486430062631</c:v>
                </c:pt>
                <c:pt idx="6">
                  <c:v>4.2913477151472978E-2</c:v>
                </c:pt>
              </c:numCache>
            </c:numRef>
          </c:val>
          <c:extLst>
            <c:ext xmlns:c16="http://schemas.microsoft.com/office/drawing/2014/chart" uri="{C3380CC4-5D6E-409C-BE32-E72D297353CC}">
              <c16:uniqueId val="{00000000-CAB1-4456-8C4B-4B3D27F59A1D}"/>
            </c:ext>
          </c:extLst>
        </c:ser>
        <c:dLbls>
          <c:showLegendKey val="0"/>
          <c:showVal val="0"/>
          <c:showCatName val="0"/>
          <c:showSerName val="0"/>
          <c:showPercent val="0"/>
          <c:showBubbleSize val="0"/>
        </c:dLbls>
        <c:gapWidth val="30"/>
        <c:axId val="642137064"/>
        <c:axId val="642138048"/>
      </c:barChart>
      <c:catAx>
        <c:axId val="642137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crossAx val="642138048"/>
        <c:crosses val="autoZero"/>
        <c:auto val="1"/>
        <c:lblAlgn val="ctr"/>
        <c:lblOffset val="100"/>
        <c:noMultiLvlLbl val="0"/>
      </c:catAx>
      <c:valAx>
        <c:axId val="642138048"/>
        <c:scaling>
          <c:orientation val="minMax"/>
        </c:scaling>
        <c:delete val="1"/>
        <c:axPos val="l"/>
        <c:numFmt formatCode="0.00%" sourceLinked="1"/>
        <c:majorTickMark val="none"/>
        <c:minorTickMark val="none"/>
        <c:tickLblPos val="nextTo"/>
        <c:crossAx val="64213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solidFill>
            <a:srgbClr val="595959"/>
          </a:solidFill>
          <a:latin typeface="Gotham Book" panose="02000604040000020004" pitchFamily="50" charset="0"/>
        </a:defRPr>
      </a:pPr>
      <a:endParaRPr lang="es-MX"/>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900">
                <a:latin typeface="Arial" panose="020B0604020202020204" pitchFamily="34" charset="0"/>
                <a:cs typeface="Arial" panose="020B0604020202020204" pitchFamily="34" charset="0"/>
              </a:rPr>
              <a:t>Porcentaje de población de</a:t>
            </a:r>
            <a:r>
              <a:rPr lang="es-MX" sz="900" baseline="0">
                <a:latin typeface="Arial" panose="020B0604020202020204" pitchFamily="34" charset="0"/>
                <a:cs typeface="Arial" panose="020B0604020202020204" pitchFamily="34" charset="0"/>
              </a:rPr>
              <a:t> 15 años o más</a:t>
            </a:r>
            <a:r>
              <a:rPr lang="es-MX" sz="900">
                <a:latin typeface="Arial" panose="020B0604020202020204" pitchFamily="34" charset="0"/>
                <a:cs typeface="Arial" panose="020B0604020202020204" pitchFamily="34" charset="0"/>
              </a:rPr>
              <a:t> por condición de analfabetismo. 2020</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view3D>
      <c:rotX val="30"/>
      <c:rotY val="181"/>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1787041791177152E-2"/>
          <c:y val="0.33227842519685041"/>
          <c:w val="0.97821299879887891"/>
          <c:h val="0.44858120734908136"/>
        </c:manualLayout>
      </c:layout>
      <c:pie3DChart>
        <c:varyColors val="1"/>
        <c:ser>
          <c:idx val="0"/>
          <c:order val="0"/>
          <c:spPr>
            <a:ln>
              <a:noFill/>
            </a:ln>
          </c:spPr>
          <c:explosion val="5"/>
          <c:dPt>
            <c:idx val="0"/>
            <c:bubble3D val="0"/>
            <c:spPr>
              <a:solidFill>
                <a:srgbClr val="009885"/>
              </a:solidFill>
              <a:ln w="25400">
                <a:noFill/>
              </a:ln>
              <a:effectLst/>
              <a:sp3d>
                <a:contourClr>
                  <a:srgbClr val="B09A5B"/>
                </a:contourClr>
              </a:sp3d>
            </c:spPr>
            <c:extLst>
              <c:ext xmlns:c16="http://schemas.microsoft.com/office/drawing/2014/chart" uri="{C3380CC4-5D6E-409C-BE32-E72D297353CC}">
                <c16:uniqueId val="{00000001-23C8-4E68-8BB0-F0D530C5D18F}"/>
              </c:ext>
            </c:extLst>
          </c:dPt>
          <c:dPt>
            <c:idx val="1"/>
            <c:bubble3D val="0"/>
            <c:spPr>
              <a:solidFill>
                <a:srgbClr val="D3C2B4"/>
              </a:solidFill>
              <a:ln w="25400">
                <a:noFill/>
              </a:ln>
              <a:effectLst/>
              <a:sp3d>
                <a:contourClr>
                  <a:srgbClr val="621132"/>
                </a:contourClr>
              </a:sp3d>
            </c:spPr>
            <c:extLst>
              <c:ext xmlns:c16="http://schemas.microsoft.com/office/drawing/2014/chart" uri="{C3380CC4-5D6E-409C-BE32-E72D297353CC}">
                <c16:uniqueId val="{00000003-23C8-4E68-8BB0-F0D530C5D18F}"/>
              </c:ext>
            </c:extLst>
          </c:dPt>
          <c:dLbls>
            <c:dLbl>
              <c:idx val="1"/>
              <c:layout>
                <c:manualLayout>
                  <c:x val="-0.16781929801147738"/>
                  <c:y val="4.99678740157480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C8-4E68-8BB0-F0D530C5D1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EDUCACIÓN!$B$15:$B$16</c:f>
              <c:strCache>
                <c:ptCount val="2"/>
                <c:pt idx="0">
                  <c:v>Hombres</c:v>
                </c:pt>
                <c:pt idx="1">
                  <c:v>Mujeres</c:v>
                </c:pt>
              </c:strCache>
            </c:strRef>
          </c:cat>
          <c:val>
            <c:numRef>
              <c:f>EDUCACIÓN!$D$15:$D$16</c:f>
              <c:numCache>
                <c:formatCode>0.00%</c:formatCode>
                <c:ptCount val="2"/>
                <c:pt idx="0">
                  <c:v>0.42697924673328208</c:v>
                </c:pt>
                <c:pt idx="1">
                  <c:v>0.57302075326671786</c:v>
                </c:pt>
              </c:numCache>
            </c:numRef>
          </c:val>
          <c:extLst>
            <c:ext xmlns:c16="http://schemas.microsoft.com/office/drawing/2014/chart" uri="{C3380CC4-5D6E-409C-BE32-E72D297353CC}">
              <c16:uniqueId val="{00000004-23C8-4E68-8BB0-F0D530C5D18F}"/>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4497620000889719"/>
          <c:y val="0.84729616797900253"/>
          <c:w val="0.49874816495395702"/>
          <c:h val="0.152703832020997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rgbClr val="595959"/>
                </a:solidFill>
                <a:latin typeface="Arial" panose="020B0604020202020204" pitchFamily="34" charset="0"/>
                <a:ea typeface="+mn-ea"/>
                <a:cs typeface="Arial" panose="020B0604020202020204" pitchFamily="34" charset="0"/>
              </a:defRPr>
            </a:pPr>
            <a:r>
              <a:rPr lang="es-MX" sz="1050">
                <a:latin typeface="Arial" panose="020B0604020202020204" pitchFamily="34" charset="0"/>
                <a:cs typeface="Arial" panose="020B0604020202020204" pitchFamily="34" charset="0"/>
              </a:rPr>
              <a:t>Porcentaje de PEAO por sector de actividad.</a:t>
            </a:r>
            <a:r>
              <a:rPr lang="es-MX" sz="1050" baseline="0">
                <a:latin typeface="Arial" panose="020B0604020202020204" pitchFamily="34" charset="0"/>
                <a:cs typeface="Arial" panose="020B0604020202020204" pitchFamily="34" charset="0"/>
              </a:rPr>
              <a:t> 2020</a:t>
            </a:r>
            <a:endParaRPr lang="es-MX" sz="105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rgbClr val="595959"/>
              </a:solidFill>
              <a:latin typeface="Arial" panose="020B0604020202020204" pitchFamily="34" charset="0"/>
              <a:ea typeface="+mn-ea"/>
              <a:cs typeface="Arial" panose="020B0604020202020204" pitchFamily="34" charset="0"/>
            </a:defRPr>
          </a:pPr>
          <a:endParaRPr lang="es-MX"/>
        </a:p>
      </c:txPr>
    </c:title>
    <c:autoTitleDeleted val="0"/>
    <c:view3D>
      <c:rotX val="30"/>
      <c:rotY val="211"/>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explosion val="10"/>
          <c:dPt>
            <c:idx val="0"/>
            <c:bubble3D val="0"/>
            <c:spPr>
              <a:solidFill>
                <a:srgbClr val="009885"/>
              </a:solidFill>
              <a:ln w="25400">
                <a:noFill/>
              </a:ln>
              <a:effectLst/>
              <a:sp3d/>
            </c:spPr>
            <c:extLst>
              <c:ext xmlns:c16="http://schemas.microsoft.com/office/drawing/2014/chart" uri="{C3380CC4-5D6E-409C-BE32-E72D297353CC}">
                <c16:uniqueId val="{00000003-453C-4240-9D98-AC5A21647655}"/>
              </c:ext>
            </c:extLst>
          </c:dPt>
          <c:dPt>
            <c:idx val="1"/>
            <c:bubble3D val="0"/>
            <c:spPr>
              <a:solidFill>
                <a:srgbClr val="D3C2B4"/>
              </a:solidFill>
              <a:ln w="25400">
                <a:noFill/>
              </a:ln>
              <a:effectLst/>
              <a:sp3d/>
            </c:spPr>
            <c:extLst>
              <c:ext xmlns:c16="http://schemas.microsoft.com/office/drawing/2014/chart" uri="{C3380CC4-5D6E-409C-BE32-E72D297353CC}">
                <c16:uniqueId val="{00000004-453C-4240-9D98-AC5A21647655}"/>
              </c:ext>
            </c:extLst>
          </c:dPt>
          <c:dPt>
            <c:idx val="2"/>
            <c:bubble3D val="0"/>
            <c:spPr>
              <a:solidFill>
                <a:schemeClr val="accent3"/>
              </a:solidFill>
              <a:ln w="25400">
                <a:noFill/>
              </a:ln>
              <a:effectLst/>
              <a:sp3d/>
            </c:spPr>
            <c:extLst>
              <c:ext xmlns:c16="http://schemas.microsoft.com/office/drawing/2014/chart" uri="{C3380CC4-5D6E-409C-BE32-E72D297353CC}">
                <c16:uniqueId val="{00000005-57CE-43D4-B3BD-3B7F5DB12C4C}"/>
              </c:ext>
            </c:extLst>
          </c:dPt>
          <c:dPt>
            <c:idx val="3"/>
            <c:bubble3D val="0"/>
            <c:spPr>
              <a:solidFill>
                <a:srgbClr val="AE192D"/>
              </a:solidFill>
              <a:ln w="25400">
                <a:noFill/>
              </a:ln>
              <a:effectLst/>
              <a:sp3d/>
            </c:spPr>
            <c:extLst>
              <c:ext xmlns:c16="http://schemas.microsoft.com/office/drawing/2014/chart" uri="{C3380CC4-5D6E-409C-BE32-E72D297353CC}">
                <c16:uniqueId val="{00000006-453C-4240-9D98-AC5A21647655}"/>
              </c:ext>
            </c:extLst>
          </c:dPt>
          <c:dPt>
            <c:idx val="4"/>
            <c:bubble3D val="0"/>
            <c:spPr>
              <a:solidFill>
                <a:schemeClr val="accent5"/>
              </a:solidFill>
              <a:ln w="25400">
                <a:noFill/>
              </a:ln>
              <a:effectLst/>
              <a:sp3d/>
            </c:spPr>
            <c:extLst>
              <c:ext xmlns:c16="http://schemas.microsoft.com/office/drawing/2014/chart" uri="{C3380CC4-5D6E-409C-BE32-E72D297353CC}">
                <c16:uniqueId val="{00000009-57CE-43D4-B3BD-3B7F5DB12C4C}"/>
              </c:ext>
            </c:extLst>
          </c:dPt>
          <c:dPt>
            <c:idx val="5"/>
            <c:bubble3D val="0"/>
            <c:spPr>
              <a:solidFill>
                <a:srgbClr val="C90166"/>
              </a:solidFill>
              <a:ln w="25400">
                <a:noFill/>
              </a:ln>
              <a:effectLst/>
              <a:sp3d/>
            </c:spPr>
            <c:extLst>
              <c:ext xmlns:c16="http://schemas.microsoft.com/office/drawing/2014/chart" uri="{C3380CC4-5D6E-409C-BE32-E72D297353CC}">
                <c16:uniqueId val="{00000013-453C-4240-9D98-AC5A21647655}"/>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57CE-43D4-B3BD-3B7F5DB12C4C}"/>
              </c:ext>
            </c:extLst>
          </c:dPt>
          <c:dPt>
            <c:idx val="7"/>
            <c:bubble3D val="0"/>
            <c:spPr>
              <a:solidFill>
                <a:srgbClr val="AE192D">
                  <a:alpha val="90000"/>
                </a:srgbClr>
              </a:solidFill>
              <a:ln w="25400">
                <a:noFill/>
              </a:ln>
              <a:effectLst/>
              <a:sp3d/>
            </c:spPr>
            <c:extLst>
              <c:ext xmlns:c16="http://schemas.microsoft.com/office/drawing/2014/chart" uri="{C3380CC4-5D6E-409C-BE32-E72D297353CC}">
                <c16:uniqueId val="{00000016-453C-4240-9D98-AC5A21647655}"/>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57CE-43D4-B3BD-3B7F5DB12C4C}"/>
              </c:ext>
            </c:extLst>
          </c:dPt>
          <c:dLbls>
            <c:dLbl>
              <c:idx val="0"/>
              <c:layout>
                <c:manualLayout>
                  <c:x val="-6.9676288194959163E-2"/>
                  <c:y val="-2.97066528776477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C-4240-9D98-AC5A21647655}"/>
                </c:ext>
              </c:extLst>
            </c:dLbl>
            <c:dLbl>
              <c:idx val="1"/>
              <c:layout>
                <c:manualLayout>
                  <c:x val="-7.1593283208931519E-2"/>
                  <c:y val="-4.20073879653932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C-4240-9D98-AC5A21647655}"/>
                </c:ext>
              </c:extLst>
            </c:dLbl>
            <c:dLbl>
              <c:idx val="3"/>
              <c:layout>
                <c:manualLayout>
                  <c:x val="4.5409466424201194E-3"/>
                  <c:y val="-2.5022079925767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C-4240-9D98-AC5A21647655}"/>
                </c:ext>
              </c:extLst>
            </c:dLbl>
            <c:dLbl>
              <c:idx val="5"/>
              <c:layout>
                <c:manualLayout>
                  <c:x val="5.6514869128035418E-2"/>
                  <c:y val="3.0771847963449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53C-4240-9D98-AC5A21647655}"/>
                </c:ext>
              </c:extLst>
            </c:dLbl>
            <c:dLbl>
              <c:idx val="7"/>
              <c:layout>
                <c:manualLayout>
                  <c:x val="4.6861199927304059E-2"/>
                  <c:y val="1.4214093958426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53C-4240-9D98-AC5A2164765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OCUPACIÓN!$B$23:$J$23</c:f>
              <c:strCache>
                <c:ptCount val="8"/>
                <c:pt idx="0">
                  <c:v>Primario</c:v>
                </c:pt>
                <c:pt idx="1">
                  <c:v>Secundario</c:v>
                </c:pt>
                <c:pt idx="3">
                  <c:v>Comercio</c:v>
                </c:pt>
                <c:pt idx="5">
                  <c:v>Servicios</c:v>
                </c:pt>
                <c:pt idx="7">
                  <c:v>No especificado</c:v>
                </c:pt>
              </c:strCache>
            </c:strRef>
          </c:cat>
          <c:val>
            <c:numRef>
              <c:f>OCUPACIÓN!$B$24:$J$24</c:f>
              <c:numCache>
                <c:formatCode>0.00</c:formatCode>
                <c:ptCount val="9"/>
                <c:pt idx="0">
                  <c:v>41.320157000000002</c:v>
                </c:pt>
                <c:pt idx="1">
                  <c:v>12.390453000000001</c:v>
                </c:pt>
                <c:pt idx="3">
                  <c:v>15.821369000000001</c:v>
                </c:pt>
                <c:pt idx="5">
                  <c:v>29.964572</c:v>
                </c:pt>
                <c:pt idx="7">
                  <c:v>0.50344999999999995</c:v>
                </c:pt>
              </c:numCache>
            </c:numRef>
          </c:val>
          <c:extLst>
            <c:ext xmlns:c16="http://schemas.microsoft.com/office/drawing/2014/chart" uri="{C3380CC4-5D6E-409C-BE32-E72D297353CC}">
              <c16:uniqueId val="{00000000-453C-4240-9D98-AC5A21647655}"/>
            </c:ext>
          </c:extLst>
        </c:ser>
        <c:dLbls>
          <c:showLegendKey val="0"/>
          <c:showVal val="0"/>
          <c:showCatName val="0"/>
          <c:showSerName val="0"/>
          <c:showPercent val="0"/>
          <c:showBubbleSize val="0"/>
          <c:showLeaderLines val="1"/>
        </c:dLbls>
      </c:pie3DChart>
      <c:spPr>
        <a:noFill/>
        <a:ln>
          <a:noFill/>
        </a:ln>
        <a:effectLst/>
      </c:spPr>
    </c:plotArea>
    <c:legend>
      <c:legendPos val="b"/>
      <c:legendEntry>
        <c:idx val="2"/>
        <c:delete val="1"/>
      </c:legendEntry>
      <c:legendEntry>
        <c:idx val="4"/>
        <c:delete val="1"/>
      </c:legendEntry>
      <c:legendEntry>
        <c:idx val="6"/>
        <c:delete val="1"/>
      </c:legendEntry>
      <c:legendEntry>
        <c:idx val="8"/>
        <c:delete val="1"/>
      </c:legendEntry>
      <c:layout>
        <c:manualLayout>
          <c:xMode val="edge"/>
          <c:yMode val="edge"/>
          <c:x val="2.1108979662342136E-2"/>
          <c:y val="0.79007485175464176"/>
          <c:w val="0.96240015273699231"/>
          <c:h val="0.18523379022066686"/>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rgbClr val="595959"/>
          </a:solidFill>
          <a:latin typeface="Gotham Book" panose="02000604040000020004" pitchFamily="50"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800">
                <a:latin typeface="Arial" panose="020B0604020202020204" pitchFamily="34" charset="0"/>
                <a:cs typeface="Arial" panose="020B0604020202020204" pitchFamily="34" charset="0"/>
              </a:rPr>
              <a:t>Porcentaje de población por condición de afiliación. 2020</a:t>
            </a:r>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view3D>
      <c:rotX val="30"/>
      <c:rotY val="181"/>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15857819454328E-3"/>
          <c:y val="0.25698980432194157"/>
          <c:w val="0.96643736128882518"/>
          <c:h val="0.58619113658738364"/>
        </c:manualLayout>
      </c:layout>
      <c:pie3DChart>
        <c:varyColors val="1"/>
        <c:ser>
          <c:idx val="0"/>
          <c:order val="0"/>
          <c:spPr>
            <a:ln>
              <a:noFill/>
            </a:ln>
          </c:spPr>
          <c:explosion val="5"/>
          <c:dPt>
            <c:idx val="0"/>
            <c:bubble3D val="0"/>
            <c:spPr>
              <a:solidFill>
                <a:srgbClr val="009885"/>
              </a:solidFill>
              <a:ln w="25400">
                <a:noFill/>
              </a:ln>
              <a:effectLst/>
              <a:sp3d>
                <a:contourClr>
                  <a:srgbClr val="B09A5B"/>
                </a:contourClr>
              </a:sp3d>
            </c:spPr>
            <c:extLst>
              <c:ext xmlns:c16="http://schemas.microsoft.com/office/drawing/2014/chart" uri="{C3380CC4-5D6E-409C-BE32-E72D297353CC}">
                <c16:uniqueId val="{00000001-A3AF-443A-8EE5-BE2C46F689E5}"/>
              </c:ext>
            </c:extLst>
          </c:dPt>
          <c:dPt>
            <c:idx val="1"/>
            <c:bubble3D val="0"/>
            <c:spPr>
              <a:solidFill>
                <a:srgbClr val="D3C2B4"/>
              </a:solidFill>
              <a:ln w="25400">
                <a:noFill/>
              </a:ln>
              <a:effectLst/>
              <a:sp3d>
                <a:contourClr>
                  <a:srgbClr val="595959"/>
                </a:contourClr>
              </a:sp3d>
            </c:spPr>
            <c:extLst>
              <c:ext xmlns:c16="http://schemas.microsoft.com/office/drawing/2014/chart" uri="{C3380CC4-5D6E-409C-BE32-E72D297353CC}">
                <c16:uniqueId val="{00000003-A3AF-443A-8EE5-BE2C46F689E5}"/>
              </c:ext>
            </c:extLst>
          </c:dPt>
          <c:dLbls>
            <c:dLbl>
              <c:idx val="0"/>
              <c:layout>
                <c:manualLayout>
                  <c:x val="0.14431400816773399"/>
                  <c:y val="9.5346375184355819E-2"/>
                </c:manualLayout>
              </c:layout>
              <c:showLegendKey val="0"/>
              <c:showVal val="1"/>
              <c:showCatName val="0"/>
              <c:showSerName val="0"/>
              <c:showPercent val="0"/>
              <c:showBubbleSize val="0"/>
              <c:extLst>
                <c:ext xmlns:c15="http://schemas.microsoft.com/office/drawing/2012/chart" uri="{CE6537A1-D6FC-4f65-9D91-7224C49458BB}">
                  <c15:layout>
                    <c:manualLayout>
                      <c:w val="0.2595419153982314"/>
                      <c:h val="9.1463414634146339E-2"/>
                    </c:manualLayout>
                  </c15:layout>
                </c:ext>
                <c:ext xmlns:c16="http://schemas.microsoft.com/office/drawing/2014/chart" uri="{C3380CC4-5D6E-409C-BE32-E72D297353CC}">
                  <c16:uniqueId val="{00000001-A3AF-443A-8EE5-BE2C46F689E5}"/>
                </c:ext>
              </c:extLst>
            </c:dLbl>
            <c:dLbl>
              <c:idx val="1"/>
              <c:layout>
                <c:manualLayout>
                  <c:x val="-0.2133333860326414"/>
                  <c:y val="-0.160938067762470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AF-443A-8EE5-BE2C46F689E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(SALUD!$B$9,SALUD!$B$12,SALUD!$B$15)</c15:sqref>
                  </c15:fullRef>
                </c:ext>
              </c:extLst>
              <c:f>(SALUD!$B$9,SALUD!$B$12)</c:f>
              <c:strCache>
                <c:ptCount val="2"/>
                <c:pt idx="0">
                  <c:v>Afiliada</c:v>
                </c:pt>
                <c:pt idx="1">
                  <c:v>No afiliada</c:v>
                </c:pt>
              </c:strCache>
            </c:strRef>
          </c:cat>
          <c:val>
            <c:numRef>
              <c:extLst>
                <c:ext xmlns:c15="http://schemas.microsoft.com/office/drawing/2012/chart" uri="{02D57815-91ED-43cb-92C2-25804820EDAC}">
                  <c15:fullRef>
                    <c15:sqref>(SALUD!$D$9,SALUD!$D$12,SALUD!$D$15)</c15:sqref>
                  </c15:fullRef>
                </c:ext>
              </c:extLst>
              <c:f>(SALUD!$D$9,SALUD!$D$12)</c:f>
              <c:numCache>
                <c:formatCode>0.00%</c:formatCode>
                <c:ptCount val="2"/>
                <c:pt idx="0">
                  <c:v>0.55668878106743247</c:v>
                </c:pt>
                <c:pt idx="1">
                  <c:v>0.44278311383965407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A3AF-443A-8EE5-BE2C46F689E5}"/>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2790742274246308"/>
          <c:y val="0.8434818513539466"/>
          <c:w val="0.75667539344252621"/>
          <c:h val="0.1077376608411753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rgbClr val="595959"/>
                </a:solidFill>
                <a:latin typeface="Arial" panose="020B0604020202020204" pitchFamily="34" charset="0"/>
                <a:ea typeface="+mn-ea"/>
                <a:cs typeface="Arial" panose="020B0604020202020204" pitchFamily="34" charset="0"/>
              </a:defRPr>
            </a:pPr>
            <a:r>
              <a:rPr lang="es-MX" sz="800">
                <a:latin typeface="Arial" panose="020B0604020202020204" pitchFamily="34" charset="0"/>
                <a:cs typeface="Arial" panose="020B0604020202020204" pitchFamily="34" charset="0"/>
              </a:rPr>
              <a:t>Población</a:t>
            </a:r>
            <a:r>
              <a:rPr lang="es-MX" sz="800" baseline="0">
                <a:latin typeface="Arial" panose="020B0604020202020204" pitchFamily="34" charset="0"/>
                <a:cs typeface="Arial" panose="020B0604020202020204" pitchFamily="34" charset="0"/>
              </a:rPr>
              <a:t> afiliada por institución. 2020</a:t>
            </a:r>
            <a:endParaRPr lang="es-MX" sz="800">
              <a:latin typeface="Arial" panose="020B0604020202020204" pitchFamily="34" charset="0"/>
              <a:cs typeface="Arial" panose="020B0604020202020204" pitchFamily="34" charset="0"/>
            </a:endParaRPr>
          </a:p>
        </c:rich>
      </c:tx>
      <c:layout>
        <c:manualLayout>
          <c:xMode val="edge"/>
          <c:yMode val="edge"/>
          <c:x val="0.14382791994750657"/>
          <c:y val="6.1162079510703364E-3"/>
        </c:manualLayout>
      </c:layout>
      <c:overlay val="0"/>
      <c:spPr>
        <a:noFill/>
        <a:ln>
          <a:noFill/>
        </a:ln>
        <a:effectLst/>
      </c:spPr>
      <c:txPr>
        <a:bodyPr rot="0" spcFirstLastPara="1" vertOverflow="ellipsis" vert="horz" wrap="square" anchor="ctr" anchorCtr="1"/>
        <a:lstStyle/>
        <a:p>
          <a:pPr>
            <a:defRPr sz="800" b="0" i="0" u="none" strike="noStrike" kern="1200" spc="0" baseline="0">
              <a:solidFill>
                <a:srgbClr val="595959"/>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D3C2B4"/>
              </a:solidFill>
              <a:ln>
                <a:noFill/>
              </a:ln>
              <a:effectLst/>
            </c:spPr>
            <c:extLst>
              <c:ext xmlns:c16="http://schemas.microsoft.com/office/drawing/2014/chart" uri="{C3380CC4-5D6E-409C-BE32-E72D297353CC}">
                <c16:uniqueId val="{00000002-6056-46DE-BE92-68924B79766F}"/>
              </c:ext>
            </c:extLst>
          </c:dPt>
          <c:dPt>
            <c:idx val="1"/>
            <c:invertIfNegative val="0"/>
            <c:bubble3D val="0"/>
            <c:spPr>
              <a:solidFill>
                <a:srgbClr val="009885"/>
              </a:solidFill>
              <a:ln>
                <a:noFill/>
              </a:ln>
              <a:effectLst/>
            </c:spPr>
            <c:extLst>
              <c:ext xmlns:c16="http://schemas.microsoft.com/office/drawing/2014/chart" uri="{C3380CC4-5D6E-409C-BE32-E72D297353CC}">
                <c16:uniqueId val="{00000006-6056-46DE-BE92-68924B79766F}"/>
              </c:ext>
            </c:extLst>
          </c:dPt>
          <c:dPt>
            <c:idx val="2"/>
            <c:invertIfNegative val="0"/>
            <c:bubble3D val="0"/>
            <c:spPr>
              <a:solidFill>
                <a:srgbClr val="AE192D"/>
              </a:solidFill>
              <a:ln>
                <a:noFill/>
              </a:ln>
              <a:effectLst/>
            </c:spPr>
            <c:extLst>
              <c:ext xmlns:c16="http://schemas.microsoft.com/office/drawing/2014/chart" uri="{C3380CC4-5D6E-409C-BE32-E72D297353CC}">
                <c16:uniqueId val="{00000008-6056-46DE-BE92-68924B79766F}"/>
              </c:ext>
            </c:extLst>
          </c:dPt>
          <c:dPt>
            <c:idx val="3"/>
            <c:invertIfNegative val="0"/>
            <c:bubble3D val="0"/>
            <c:spPr>
              <a:solidFill>
                <a:srgbClr val="C90166"/>
              </a:solidFill>
              <a:ln>
                <a:noFill/>
              </a:ln>
              <a:effectLst/>
            </c:spPr>
            <c:extLst>
              <c:ext xmlns:c16="http://schemas.microsoft.com/office/drawing/2014/chart" uri="{C3380CC4-5D6E-409C-BE32-E72D297353CC}">
                <c16:uniqueId val="{0000000C-6056-46DE-BE92-68924B79766F}"/>
              </c:ext>
            </c:extLst>
          </c:dPt>
          <c:dPt>
            <c:idx val="4"/>
            <c:invertIfNegative val="0"/>
            <c:bubble3D val="0"/>
            <c:spPr>
              <a:solidFill>
                <a:srgbClr val="D3C2B4">
                  <a:alpha val="50000"/>
                </a:srgbClr>
              </a:solidFill>
              <a:ln>
                <a:noFill/>
              </a:ln>
              <a:effectLst/>
            </c:spPr>
            <c:extLst>
              <c:ext xmlns:c16="http://schemas.microsoft.com/office/drawing/2014/chart" uri="{C3380CC4-5D6E-409C-BE32-E72D297353CC}">
                <c16:uniqueId val="{00000003-6056-46DE-BE92-68924B79766F}"/>
              </c:ext>
            </c:extLst>
          </c:dPt>
          <c:dPt>
            <c:idx val="5"/>
            <c:invertIfNegative val="0"/>
            <c:bubble3D val="0"/>
            <c:spPr>
              <a:solidFill>
                <a:srgbClr val="009885">
                  <a:alpha val="50000"/>
                </a:srgbClr>
              </a:solidFill>
              <a:ln>
                <a:noFill/>
              </a:ln>
              <a:effectLst/>
            </c:spPr>
            <c:extLst>
              <c:ext xmlns:c16="http://schemas.microsoft.com/office/drawing/2014/chart" uri="{C3380CC4-5D6E-409C-BE32-E72D297353CC}">
                <c16:uniqueId val="{0000000E-6056-46DE-BE92-68924B79766F}"/>
              </c:ext>
            </c:extLst>
          </c:dPt>
          <c:dPt>
            <c:idx val="6"/>
            <c:invertIfNegative val="0"/>
            <c:bubble3D val="0"/>
            <c:spPr>
              <a:solidFill>
                <a:srgbClr val="C90166">
                  <a:alpha val="50000"/>
                </a:srgbClr>
              </a:solidFill>
              <a:ln>
                <a:noFill/>
              </a:ln>
              <a:effectLst/>
            </c:spPr>
            <c:extLst>
              <c:ext xmlns:c16="http://schemas.microsoft.com/office/drawing/2014/chart" uri="{C3380CC4-5D6E-409C-BE32-E72D297353CC}">
                <c16:uniqueId val="{00000018-6056-46DE-BE92-68924B79766F}"/>
              </c:ext>
            </c:extLst>
          </c:dPt>
          <c:dLbls>
            <c:spPr>
              <a:noFill/>
              <a:ln>
                <a:noFill/>
              </a:ln>
              <a:effectLst/>
            </c:spPr>
            <c:txPr>
              <a:bodyPr rot="-5400000" spcFirstLastPara="1" vertOverflow="ellipsis" wrap="square" anchor="ctr" anchorCtr="1"/>
              <a:lstStyle/>
              <a:p>
                <a:pPr>
                  <a:defRPr sz="7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SALUD!$B$22:$B$28</c:f>
              <c:strCache>
                <c:ptCount val="7"/>
                <c:pt idx="0">
                  <c:v>IMSS</c:v>
                </c:pt>
                <c:pt idx="1">
                  <c:v>ISSSTE</c:v>
                </c:pt>
                <c:pt idx="2">
                  <c:v>ISSSTE Estatal</c:v>
                </c:pt>
                <c:pt idx="3">
                  <c:v>PEMEX, Defensa o Marina</c:v>
                </c:pt>
                <c:pt idx="4">
                  <c:v>INSABI (Seguro popular)</c:v>
                </c:pt>
                <c:pt idx="5">
                  <c:v>Institución privada</c:v>
                </c:pt>
                <c:pt idx="6">
                  <c:v>Otra institución</c:v>
                </c:pt>
              </c:strCache>
            </c:strRef>
          </c:cat>
          <c:val>
            <c:numRef>
              <c:f>SALUD!$C$22:$C$28</c:f>
              <c:numCache>
                <c:formatCode>#,##0</c:formatCode>
                <c:ptCount val="7"/>
                <c:pt idx="0">
                  <c:v>2429</c:v>
                </c:pt>
                <c:pt idx="1">
                  <c:v>656</c:v>
                </c:pt>
                <c:pt idx="2">
                  <c:v>200</c:v>
                </c:pt>
                <c:pt idx="3">
                  <c:v>108</c:v>
                </c:pt>
                <c:pt idx="4">
                  <c:v>13069</c:v>
                </c:pt>
                <c:pt idx="5">
                  <c:v>72</c:v>
                </c:pt>
                <c:pt idx="6">
                  <c:v>61</c:v>
                </c:pt>
              </c:numCache>
            </c:numRef>
          </c:val>
          <c:extLst>
            <c:ext xmlns:c16="http://schemas.microsoft.com/office/drawing/2014/chart" uri="{C3380CC4-5D6E-409C-BE32-E72D297353CC}">
              <c16:uniqueId val="{00000000-6056-46DE-BE92-68924B79766F}"/>
            </c:ext>
          </c:extLst>
        </c:ser>
        <c:dLbls>
          <c:showLegendKey val="0"/>
          <c:showVal val="0"/>
          <c:showCatName val="0"/>
          <c:showSerName val="0"/>
          <c:showPercent val="0"/>
          <c:showBubbleSize val="0"/>
        </c:dLbls>
        <c:gapWidth val="50"/>
        <c:overlap val="-27"/>
        <c:axId val="770716320"/>
        <c:axId val="770714680"/>
      </c:barChart>
      <c:catAx>
        <c:axId val="77071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crossAx val="770714680"/>
        <c:crosses val="autoZero"/>
        <c:auto val="1"/>
        <c:lblAlgn val="ctr"/>
        <c:lblOffset val="100"/>
        <c:noMultiLvlLbl val="0"/>
      </c:catAx>
      <c:valAx>
        <c:axId val="770714680"/>
        <c:scaling>
          <c:orientation val="minMax"/>
        </c:scaling>
        <c:delete val="1"/>
        <c:axPos val="l"/>
        <c:numFmt formatCode="#,##0" sourceLinked="1"/>
        <c:majorTickMark val="none"/>
        <c:minorTickMark val="none"/>
        <c:tickLblPos val="nextTo"/>
        <c:crossAx val="770716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rgbClr val="595959"/>
          </a:solidFill>
          <a:latin typeface="Gotham Book" panose="02000604040000020004" pitchFamily="50"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900">
                <a:latin typeface="Arial" panose="020B0604020202020204" pitchFamily="34" charset="0"/>
                <a:cs typeface="Arial" panose="020B0604020202020204" pitchFamily="34" charset="0"/>
              </a:rPr>
              <a:t>Porcentaje de población por sexo. 2020</a:t>
            </a:r>
          </a:p>
        </c:rich>
      </c:tx>
      <c:layout>
        <c:manualLayout>
          <c:xMode val="edge"/>
          <c:yMode val="edge"/>
          <c:x val="0.22794891866586853"/>
          <c:y val="1.554610341030868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view3D>
      <c:rotX val="30"/>
      <c:rotY val="18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9904710611789486"/>
          <c:w val="1"/>
          <c:h val="0.61468364621608851"/>
        </c:manualLayout>
      </c:layout>
      <c:pie3DChart>
        <c:varyColors val="1"/>
        <c:ser>
          <c:idx val="0"/>
          <c:order val="0"/>
          <c:explosion val="5"/>
          <c:dPt>
            <c:idx val="0"/>
            <c:bubble3D val="0"/>
            <c:spPr>
              <a:solidFill>
                <a:srgbClr val="009885"/>
              </a:solidFill>
              <a:ln w="25400">
                <a:noFill/>
              </a:ln>
              <a:effectLst/>
              <a:sp3d/>
            </c:spPr>
            <c:extLst>
              <c:ext xmlns:c16="http://schemas.microsoft.com/office/drawing/2014/chart" uri="{C3380CC4-5D6E-409C-BE32-E72D297353CC}">
                <c16:uniqueId val="{00000001-43A8-448D-8094-EB3A86C8EC7B}"/>
              </c:ext>
            </c:extLst>
          </c:dPt>
          <c:dPt>
            <c:idx val="1"/>
            <c:bubble3D val="0"/>
            <c:spPr>
              <a:solidFill>
                <a:srgbClr val="D3C2B4"/>
              </a:solidFill>
              <a:ln w="25400">
                <a:noFill/>
              </a:ln>
              <a:effectLst/>
              <a:sp3d/>
            </c:spPr>
            <c:extLst>
              <c:ext xmlns:c16="http://schemas.microsoft.com/office/drawing/2014/chart" uri="{C3380CC4-5D6E-409C-BE32-E72D297353CC}">
                <c16:uniqueId val="{00000003-43A8-448D-8094-EB3A86C8EC7B}"/>
              </c:ext>
            </c:extLst>
          </c:dPt>
          <c:dLbls>
            <c:dLbl>
              <c:idx val="0"/>
              <c:layout>
                <c:manualLayout>
                  <c:x val="-5.0867397556166712E-2"/>
                  <c:y val="-7.6864788188397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A8-448D-8094-EB3A86C8EC7B}"/>
                </c:ext>
              </c:extLst>
            </c:dLbl>
            <c:dLbl>
              <c:idx val="1"/>
              <c:layout>
                <c:manualLayout>
                  <c:x val="-4.8196008991699003E-3"/>
                  <c:y val="3.212875055532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A8-448D-8094-EB3A86C8EC7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'POBLACIÓN TOTAL'!$B$17:$B$18</c:f>
              <c:strCache>
                <c:ptCount val="2"/>
                <c:pt idx="0">
                  <c:v>Hombres</c:v>
                </c:pt>
                <c:pt idx="1">
                  <c:v>Mujeres</c:v>
                </c:pt>
              </c:strCache>
            </c:strRef>
          </c:cat>
          <c:val>
            <c:numRef>
              <c:f>'POBLACIÓN TOTAL'!$D$17:$D$18</c:f>
              <c:numCache>
                <c:formatCode>0.00%</c:formatCode>
                <c:ptCount val="2"/>
                <c:pt idx="0">
                  <c:v>0.51417632108789646</c:v>
                </c:pt>
                <c:pt idx="1">
                  <c:v>0.48582367891210348</c:v>
                </c:pt>
              </c:numCache>
            </c:numRef>
          </c:val>
          <c:extLst>
            <c:ext xmlns:c16="http://schemas.microsoft.com/office/drawing/2014/chart" uri="{C3380CC4-5D6E-409C-BE32-E72D297353CC}">
              <c16:uniqueId val="{00000004-43A8-448D-8094-EB3A86C8EC7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5.604977628361258E-2"/>
          <c:y val="0.85762917471767652"/>
          <c:w val="0.85678046879977265"/>
          <c:h val="0.11127867684546897"/>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rgbClr val="595959"/>
                </a:solidFill>
                <a:latin typeface="Arial" panose="020B0604020202020204" pitchFamily="34" charset="0"/>
                <a:ea typeface="+mn-ea"/>
                <a:cs typeface="Arial" panose="020B0604020202020204" pitchFamily="34" charset="0"/>
              </a:defRPr>
            </a:pPr>
            <a:r>
              <a:rPr lang="es-MX" sz="1050">
                <a:latin typeface="Arial" panose="020B0604020202020204" pitchFamily="34" charset="0"/>
                <a:cs typeface="Arial" panose="020B0604020202020204" pitchFamily="34" charset="0"/>
              </a:rPr>
              <a:t>Porcentaje de viviendas por disponibilidad</a:t>
            </a:r>
            <a:r>
              <a:rPr lang="es-MX" sz="1050" baseline="0">
                <a:latin typeface="Arial" panose="020B0604020202020204" pitchFamily="34" charset="0"/>
                <a:cs typeface="Arial" panose="020B0604020202020204" pitchFamily="34" charset="0"/>
              </a:rPr>
              <a:t> de servicios. 2020</a:t>
            </a:r>
            <a:endParaRPr lang="es-MX" sz="1050">
              <a:latin typeface="Arial" panose="020B0604020202020204" pitchFamily="34" charset="0"/>
              <a:cs typeface="Arial" panose="020B0604020202020204" pitchFamily="34" charset="0"/>
            </a:endParaRPr>
          </a:p>
        </c:rich>
      </c:tx>
      <c:layout>
        <c:manualLayout>
          <c:xMode val="edge"/>
          <c:yMode val="edge"/>
          <c:x val="0.13014238613699639"/>
          <c:y val="5.19953204211621E-4"/>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rgbClr val="595959"/>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D3C2B4"/>
              </a:solidFill>
              <a:ln>
                <a:noFill/>
              </a:ln>
              <a:effectLst/>
            </c:spPr>
            <c:extLst>
              <c:ext xmlns:c16="http://schemas.microsoft.com/office/drawing/2014/chart" uri="{C3380CC4-5D6E-409C-BE32-E72D297353CC}">
                <c16:uniqueId val="{00000001-2863-411C-A4C6-A471B1301895}"/>
              </c:ext>
            </c:extLst>
          </c:dPt>
          <c:dPt>
            <c:idx val="1"/>
            <c:invertIfNegative val="0"/>
            <c:bubble3D val="0"/>
            <c:spPr>
              <a:solidFill>
                <a:srgbClr val="009885"/>
              </a:solidFill>
              <a:ln>
                <a:noFill/>
              </a:ln>
              <a:effectLst/>
            </c:spPr>
            <c:extLst>
              <c:ext xmlns:c16="http://schemas.microsoft.com/office/drawing/2014/chart" uri="{C3380CC4-5D6E-409C-BE32-E72D297353CC}">
                <c16:uniqueId val="{00000003-2863-411C-A4C6-A471B1301895}"/>
              </c:ext>
            </c:extLst>
          </c:dPt>
          <c:dPt>
            <c:idx val="2"/>
            <c:invertIfNegative val="0"/>
            <c:bubble3D val="0"/>
            <c:spPr>
              <a:solidFill>
                <a:srgbClr val="C90166"/>
              </a:solidFill>
              <a:ln>
                <a:noFill/>
              </a:ln>
              <a:effectLst/>
            </c:spPr>
            <c:extLst>
              <c:ext xmlns:c16="http://schemas.microsoft.com/office/drawing/2014/chart" uri="{C3380CC4-5D6E-409C-BE32-E72D297353CC}">
                <c16:uniqueId val="{00000005-2863-411C-A4C6-A471B130189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VIVIENDAS'!$N$10:$N$12</c:f>
              <c:strCache>
                <c:ptCount val="3"/>
                <c:pt idx="0">
                  <c:v>Energía eléctrica</c:v>
                </c:pt>
                <c:pt idx="1">
                  <c:v>Agua entubada</c:v>
                </c:pt>
                <c:pt idx="2">
                  <c:v>Drenaje de red pública</c:v>
                </c:pt>
              </c:strCache>
            </c:strRef>
          </c:cat>
          <c:val>
            <c:numRef>
              <c:f>'SERVICIOS VIVIENDAS'!$P$10:$P$12</c:f>
              <c:numCache>
                <c:formatCode>0.00%</c:formatCode>
                <c:ptCount val="3"/>
                <c:pt idx="0">
                  <c:v>0.98613472999999996</c:v>
                </c:pt>
                <c:pt idx="1">
                  <c:v>0.47521255722694572</c:v>
                </c:pt>
                <c:pt idx="2">
                  <c:v>0.96141268803139301</c:v>
                </c:pt>
              </c:numCache>
            </c:numRef>
          </c:val>
          <c:extLst>
            <c:ext xmlns:c16="http://schemas.microsoft.com/office/drawing/2014/chart" uri="{C3380CC4-5D6E-409C-BE32-E72D297353CC}">
              <c16:uniqueId val="{0000000E-2863-411C-A4C6-A471B1301895}"/>
            </c:ext>
          </c:extLst>
        </c:ser>
        <c:dLbls>
          <c:showLegendKey val="0"/>
          <c:showVal val="0"/>
          <c:showCatName val="0"/>
          <c:showSerName val="0"/>
          <c:showPercent val="0"/>
          <c:showBubbleSize val="0"/>
        </c:dLbls>
        <c:gapWidth val="50"/>
        <c:overlap val="-27"/>
        <c:axId val="770716320"/>
        <c:axId val="770714680"/>
      </c:barChart>
      <c:catAx>
        <c:axId val="77071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crossAx val="770714680"/>
        <c:crosses val="autoZero"/>
        <c:auto val="1"/>
        <c:lblAlgn val="ctr"/>
        <c:lblOffset val="100"/>
        <c:noMultiLvlLbl val="0"/>
      </c:catAx>
      <c:valAx>
        <c:axId val="770714680"/>
        <c:scaling>
          <c:orientation val="minMax"/>
        </c:scaling>
        <c:delete val="1"/>
        <c:axPos val="l"/>
        <c:numFmt formatCode="0.00%" sourceLinked="1"/>
        <c:majorTickMark val="none"/>
        <c:minorTickMark val="none"/>
        <c:tickLblPos val="nextTo"/>
        <c:crossAx val="770716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rgbClr val="595959"/>
          </a:solidFill>
          <a:latin typeface="Gotham Book" panose="02000604040000020004" pitchFamily="50" charset="0"/>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rgbClr val="595959"/>
                </a:solidFill>
                <a:latin typeface="Arial" panose="020B0604020202020204" pitchFamily="34" charset="0"/>
                <a:ea typeface="+mn-ea"/>
                <a:cs typeface="Arial" panose="020B0604020202020204" pitchFamily="34" charset="0"/>
              </a:defRPr>
            </a:pPr>
            <a:r>
              <a:rPr lang="es-MX" sz="1000">
                <a:latin typeface="Arial" panose="020B0604020202020204" pitchFamily="34" charset="0"/>
                <a:cs typeface="Arial" panose="020B0604020202020204" pitchFamily="34" charset="0"/>
              </a:rPr>
              <a:t>Porcentaje de viviendas por disponibilidad</a:t>
            </a:r>
            <a:r>
              <a:rPr lang="es-MX" sz="1000" baseline="0">
                <a:latin typeface="Arial" panose="020B0604020202020204" pitchFamily="34" charset="0"/>
                <a:cs typeface="Arial" panose="020B0604020202020204" pitchFamily="34" charset="0"/>
              </a:rPr>
              <a:t> de bienes y TIC´s. 2020</a:t>
            </a:r>
            <a:endParaRPr lang="es-MX" sz="1000">
              <a:latin typeface="Arial" panose="020B0604020202020204" pitchFamily="34" charset="0"/>
              <a:cs typeface="Arial" panose="020B0604020202020204" pitchFamily="34" charset="0"/>
            </a:endParaRPr>
          </a:p>
        </c:rich>
      </c:tx>
      <c:layout>
        <c:manualLayout>
          <c:xMode val="edge"/>
          <c:yMode val="edge"/>
          <c:x val="0.23613571361414701"/>
          <c:y val="2.237000533062949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rgbClr val="595959"/>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D3C2B4"/>
              </a:solidFill>
              <a:ln>
                <a:noFill/>
              </a:ln>
              <a:effectLst/>
            </c:spPr>
            <c:extLst>
              <c:ext xmlns:c16="http://schemas.microsoft.com/office/drawing/2014/chart" uri="{C3380CC4-5D6E-409C-BE32-E72D297353CC}">
                <c16:uniqueId val="{00000001-9AC2-4FD5-A043-1598EA2E374D}"/>
              </c:ext>
            </c:extLst>
          </c:dPt>
          <c:dPt>
            <c:idx val="1"/>
            <c:invertIfNegative val="0"/>
            <c:bubble3D val="0"/>
            <c:spPr>
              <a:solidFill>
                <a:srgbClr val="009885"/>
              </a:solidFill>
              <a:ln>
                <a:noFill/>
              </a:ln>
              <a:effectLst/>
            </c:spPr>
            <c:extLst>
              <c:ext xmlns:c16="http://schemas.microsoft.com/office/drawing/2014/chart" uri="{C3380CC4-5D6E-409C-BE32-E72D297353CC}">
                <c16:uniqueId val="{00000003-9AC2-4FD5-A043-1598EA2E374D}"/>
              </c:ext>
            </c:extLst>
          </c:dPt>
          <c:dPt>
            <c:idx val="2"/>
            <c:invertIfNegative val="0"/>
            <c:bubble3D val="0"/>
            <c:spPr>
              <a:solidFill>
                <a:srgbClr val="C90166"/>
              </a:solidFill>
              <a:ln>
                <a:noFill/>
              </a:ln>
              <a:effectLst/>
            </c:spPr>
            <c:extLst>
              <c:ext xmlns:c16="http://schemas.microsoft.com/office/drawing/2014/chart" uri="{C3380CC4-5D6E-409C-BE32-E72D297353CC}">
                <c16:uniqueId val="{00000005-9AC2-4FD5-A043-1598EA2E374D}"/>
              </c:ext>
            </c:extLst>
          </c:dPt>
          <c:dPt>
            <c:idx val="3"/>
            <c:invertIfNegative val="0"/>
            <c:bubble3D val="0"/>
            <c:spPr>
              <a:solidFill>
                <a:srgbClr val="AE192D"/>
              </a:solidFill>
              <a:ln>
                <a:noFill/>
              </a:ln>
              <a:effectLst/>
            </c:spPr>
            <c:extLst>
              <c:ext xmlns:c16="http://schemas.microsoft.com/office/drawing/2014/chart" uri="{C3380CC4-5D6E-409C-BE32-E72D297353CC}">
                <c16:uniqueId val="{00000008-7B9A-4EC2-A786-3A8EA8115938}"/>
              </c:ext>
            </c:extLst>
          </c:dPt>
          <c:dPt>
            <c:idx val="4"/>
            <c:invertIfNegative val="0"/>
            <c:bubble3D val="0"/>
            <c:spPr>
              <a:solidFill>
                <a:srgbClr val="D3C2B4"/>
              </a:solidFill>
              <a:ln>
                <a:noFill/>
              </a:ln>
              <a:effectLst/>
            </c:spPr>
            <c:extLst>
              <c:ext xmlns:c16="http://schemas.microsoft.com/office/drawing/2014/chart" uri="{C3380CC4-5D6E-409C-BE32-E72D297353CC}">
                <c16:uniqueId val="{0000000A-7B9A-4EC2-A786-3A8EA8115938}"/>
              </c:ext>
            </c:extLst>
          </c:dPt>
          <c:dPt>
            <c:idx val="5"/>
            <c:invertIfNegative val="0"/>
            <c:bubble3D val="0"/>
            <c:spPr>
              <a:solidFill>
                <a:srgbClr val="009885"/>
              </a:solidFill>
              <a:ln>
                <a:noFill/>
              </a:ln>
              <a:effectLst/>
            </c:spPr>
            <c:extLst>
              <c:ext xmlns:c16="http://schemas.microsoft.com/office/drawing/2014/chart" uri="{C3380CC4-5D6E-409C-BE32-E72D297353CC}">
                <c16:uniqueId val="{0000000B-C166-4E18-A8CD-9FF9E1D982E3}"/>
              </c:ext>
            </c:extLst>
          </c:dPt>
          <c:dPt>
            <c:idx val="6"/>
            <c:invertIfNegative val="0"/>
            <c:bubble3D val="0"/>
            <c:spPr>
              <a:solidFill>
                <a:srgbClr val="AE192D">
                  <a:alpha val="50000"/>
                </a:srgbClr>
              </a:solidFill>
              <a:ln>
                <a:noFill/>
              </a:ln>
              <a:effectLst/>
            </c:spPr>
            <c:extLst>
              <c:ext xmlns:c16="http://schemas.microsoft.com/office/drawing/2014/chart" uri="{C3380CC4-5D6E-409C-BE32-E72D297353CC}">
                <c16:uniqueId val="{0000000B-7B9A-4EC2-A786-3A8EA8115938}"/>
              </c:ext>
            </c:extLst>
          </c:dPt>
          <c:dPt>
            <c:idx val="7"/>
            <c:invertIfNegative val="0"/>
            <c:bubble3D val="0"/>
            <c:spPr>
              <a:solidFill>
                <a:srgbClr val="C90166"/>
              </a:solidFill>
              <a:ln>
                <a:noFill/>
              </a:ln>
              <a:effectLst/>
            </c:spPr>
            <c:extLst>
              <c:ext xmlns:c16="http://schemas.microsoft.com/office/drawing/2014/chart" uri="{C3380CC4-5D6E-409C-BE32-E72D297353CC}">
                <c16:uniqueId val="{0000000F-C166-4E18-A8CD-9FF9E1D982E3}"/>
              </c:ext>
            </c:extLst>
          </c:dPt>
          <c:dPt>
            <c:idx val="8"/>
            <c:invertIfNegative val="0"/>
            <c:bubble3D val="0"/>
            <c:spPr>
              <a:solidFill>
                <a:srgbClr val="AE192D"/>
              </a:solidFill>
              <a:ln>
                <a:noFill/>
              </a:ln>
              <a:effectLst/>
            </c:spPr>
            <c:extLst>
              <c:ext xmlns:c16="http://schemas.microsoft.com/office/drawing/2014/chart" uri="{C3380CC4-5D6E-409C-BE32-E72D297353CC}">
                <c16:uniqueId val="{00000011-C166-4E18-A8CD-9FF9E1D982E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'CALIDAD VIVIENDAS'!$B$18:$B$26</c:f>
              <c:strCache>
                <c:ptCount val="9"/>
                <c:pt idx="0">
                  <c:v>Refrigerador</c:v>
                </c:pt>
                <c:pt idx="1">
                  <c:v>Lavadora</c:v>
                </c:pt>
                <c:pt idx="2">
                  <c:v>Automóvil</c:v>
                </c:pt>
                <c:pt idx="3">
                  <c:v>Radio</c:v>
                </c:pt>
                <c:pt idx="4">
                  <c:v>Televisor</c:v>
                </c:pt>
                <c:pt idx="5">
                  <c:v>Computadora</c:v>
                </c:pt>
                <c:pt idx="6">
                  <c:v>Línea telefónica fija</c:v>
                </c:pt>
                <c:pt idx="7">
                  <c:v>Teléfono celular</c:v>
                </c:pt>
                <c:pt idx="8">
                  <c:v>Internet</c:v>
                </c:pt>
              </c:strCache>
            </c:strRef>
          </c:cat>
          <c:val>
            <c:numRef>
              <c:f>'CALIDAD VIVIENDAS'!$D$18:$D$26</c:f>
              <c:numCache>
                <c:formatCode>0.00%</c:formatCode>
                <c:ptCount val="9"/>
                <c:pt idx="0">
                  <c:v>0.73734466971877044</c:v>
                </c:pt>
                <c:pt idx="1">
                  <c:v>0.51994767822105947</c:v>
                </c:pt>
                <c:pt idx="2">
                  <c:v>0.17279267495094833</c:v>
                </c:pt>
                <c:pt idx="3">
                  <c:v>0.59215173315892744</c:v>
                </c:pt>
                <c:pt idx="4">
                  <c:v>0.78757357750163504</c:v>
                </c:pt>
                <c:pt idx="5">
                  <c:v>6.7364290385873118E-2</c:v>
                </c:pt>
                <c:pt idx="6">
                  <c:v>0.11026814911706997</c:v>
                </c:pt>
                <c:pt idx="7">
                  <c:v>0.71706998037933289</c:v>
                </c:pt>
                <c:pt idx="8">
                  <c:v>0.16873773708306083</c:v>
                </c:pt>
              </c:numCache>
            </c:numRef>
          </c:val>
          <c:extLst>
            <c:ext xmlns:c16="http://schemas.microsoft.com/office/drawing/2014/chart" uri="{C3380CC4-5D6E-409C-BE32-E72D297353CC}">
              <c16:uniqueId val="{00000006-9AC2-4FD5-A043-1598EA2E374D}"/>
            </c:ext>
          </c:extLst>
        </c:ser>
        <c:dLbls>
          <c:showLegendKey val="0"/>
          <c:showVal val="0"/>
          <c:showCatName val="0"/>
          <c:showSerName val="0"/>
          <c:showPercent val="0"/>
          <c:showBubbleSize val="0"/>
        </c:dLbls>
        <c:gapWidth val="50"/>
        <c:overlap val="-27"/>
        <c:axId val="770716320"/>
        <c:axId val="770714680"/>
      </c:barChart>
      <c:catAx>
        <c:axId val="77071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crossAx val="770714680"/>
        <c:crosses val="autoZero"/>
        <c:auto val="1"/>
        <c:lblAlgn val="ctr"/>
        <c:lblOffset val="100"/>
        <c:noMultiLvlLbl val="0"/>
      </c:catAx>
      <c:valAx>
        <c:axId val="770714680"/>
        <c:scaling>
          <c:orientation val="minMax"/>
        </c:scaling>
        <c:delete val="1"/>
        <c:axPos val="l"/>
        <c:numFmt formatCode="0.00%" sourceLinked="1"/>
        <c:majorTickMark val="none"/>
        <c:minorTickMark val="none"/>
        <c:tickLblPos val="nextTo"/>
        <c:crossAx val="770716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rgbClr val="595959"/>
          </a:solidFill>
          <a:latin typeface="Gotham Book" panose="02000604040000020004" pitchFamily="50" charset="0"/>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1000">
                <a:latin typeface="Arial" panose="020B0604020202020204" pitchFamily="34" charset="0"/>
                <a:cs typeface="Arial" panose="020B0604020202020204" pitchFamily="34" charset="0"/>
              </a:rPr>
              <a:t>Porcentaje de viviendas por material</a:t>
            </a:r>
            <a:r>
              <a:rPr lang="es-MX" sz="1000" baseline="0">
                <a:latin typeface="Arial" panose="020B0604020202020204" pitchFamily="34" charset="0"/>
                <a:cs typeface="Arial" panose="020B0604020202020204" pitchFamily="34" charset="0"/>
              </a:rPr>
              <a:t> del piso</a:t>
            </a:r>
            <a:r>
              <a:rPr lang="es-MX" sz="1000">
                <a:latin typeface="Arial" panose="020B0604020202020204" pitchFamily="34" charset="0"/>
                <a:cs typeface="Arial" panose="020B0604020202020204" pitchFamily="34" charset="0"/>
              </a:rPr>
              <a:t>. 2020</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view3D>
      <c:rotX val="30"/>
      <c:rotY val="144"/>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362773553390174E-3"/>
          <c:y val="0.16780469299507711"/>
          <c:w val="0.99776372264466096"/>
          <c:h val="0.62346309800599664"/>
        </c:manualLayout>
      </c:layout>
      <c:pie3DChart>
        <c:varyColors val="1"/>
        <c:ser>
          <c:idx val="0"/>
          <c:order val="0"/>
          <c:spPr>
            <a:ln>
              <a:noFill/>
            </a:ln>
          </c:spPr>
          <c:explosion val="9"/>
          <c:dPt>
            <c:idx val="0"/>
            <c:bubble3D val="0"/>
            <c:spPr>
              <a:solidFill>
                <a:srgbClr val="C90166"/>
              </a:solidFill>
              <a:ln w="25400">
                <a:noFill/>
              </a:ln>
              <a:effectLst/>
              <a:sp3d>
                <a:contourClr>
                  <a:srgbClr val="621132"/>
                </a:contourClr>
              </a:sp3d>
            </c:spPr>
            <c:extLst>
              <c:ext xmlns:c16="http://schemas.microsoft.com/office/drawing/2014/chart" uri="{C3380CC4-5D6E-409C-BE32-E72D297353CC}">
                <c16:uniqueId val="{00000001-F828-47BA-8E96-A6D787AD81B7}"/>
              </c:ext>
            </c:extLst>
          </c:dPt>
          <c:dPt>
            <c:idx val="1"/>
            <c:bubble3D val="0"/>
            <c:spPr>
              <a:solidFill>
                <a:srgbClr val="D3C2B4"/>
              </a:solidFill>
              <a:ln w="25400">
                <a:noFill/>
              </a:ln>
              <a:effectLst/>
              <a:sp3d>
                <a:contourClr>
                  <a:srgbClr val="B09A5B"/>
                </a:contourClr>
              </a:sp3d>
            </c:spPr>
            <c:extLst>
              <c:ext xmlns:c16="http://schemas.microsoft.com/office/drawing/2014/chart" uri="{C3380CC4-5D6E-409C-BE32-E72D297353CC}">
                <c16:uniqueId val="{00000003-F828-47BA-8E96-A6D787AD81B7}"/>
              </c:ext>
            </c:extLst>
          </c:dPt>
          <c:dPt>
            <c:idx val="2"/>
            <c:bubble3D val="0"/>
            <c:spPr>
              <a:solidFill>
                <a:srgbClr val="009885"/>
              </a:solidFill>
              <a:ln w="25400">
                <a:noFill/>
              </a:ln>
              <a:effectLst/>
              <a:sp3d>
                <a:contourClr>
                  <a:srgbClr val="595959"/>
                </a:contourClr>
              </a:sp3d>
            </c:spPr>
            <c:extLst>
              <c:ext xmlns:c16="http://schemas.microsoft.com/office/drawing/2014/chart" uri="{C3380CC4-5D6E-409C-BE32-E72D297353CC}">
                <c16:uniqueId val="{00000005-F828-47BA-8E96-A6D787AD81B7}"/>
              </c:ext>
            </c:extLst>
          </c:dPt>
          <c:dPt>
            <c:idx val="3"/>
            <c:bubble3D val="0"/>
            <c:spPr>
              <a:solidFill>
                <a:schemeClr val="accent4">
                  <a:lumMod val="50000"/>
                </a:schemeClr>
              </a:solidFill>
              <a:ln w="25400">
                <a:noFill/>
              </a:ln>
              <a:effectLst/>
              <a:sp3d>
                <a:contourClr>
                  <a:schemeClr val="accent4">
                    <a:lumMod val="50000"/>
                  </a:schemeClr>
                </a:contourClr>
              </a:sp3d>
            </c:spPr>
            <c:extLst>
              <c:ext xmlns:c16="http://schemas.microsoft.com/office/drawing/2014/chart" uri="{C3380CC4-5D6E-409C-BE32-E72D297353CC}">
                <c16:uniqueId val="{00000007-F828-47BA-8E96-A6D787AD81B7}"/>
              </c:ext>
            </c:extLst>
          </c:dPt>
          <c:dLbls>
            <c:dLbl>
              <c:idx val="0"/>
              <c:layout>
                <c:manualLayout>
                  <c:x val="-0.11186476983060382"/>
                  <c:y val="4.976901257612229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28-47BA-8E96-A6D787AD81B7}"/>
                </c:ext>
              </c:extLst>
            </c:dLbl>
            <c:dLbl>
              <c:idx val="1"/>
              <c:layout>
                <c:manualLayout>
                  <c:x val="0.13351088841507383"/>
                  <c:y val="-0.1138477545000909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28-47BA-8E96-A6D787AD81B7}"/>
                </c:ext>
              </c:extLst>
            </c:dLbl>
            <c:dLbl>
              <c:idx val="2"/>
              <c:layout>
                <c:manualLayout>
                  <c:x val="2.4432843804858117E-3"/>
                  <c:y val="-6.43012990161417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28-47BA-8E96-A6D787AD81B7}"/>
                </c:ext>
              </c:extLst>
            </c:dLbl>
            <c:dLbl>
              <c:idx val="3"/>
              <c:layout>
                <c:manualLayout>
                  <c:x val="3.1321480197160814E-2"/>
                  <c:y val="-9.6668678913588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28-47BA-8E96-A6D787AD81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'CALIDAD VIVIENDAS'!$B$11:$B$14</c:f>
              <c:strCache>
                <c:ptCount val="4"/>
                <c:pt idx="0">
                  <c:v>Tierra</c:v>
                </c:pt>
                <c:pt idx="1">
                  <c:v>Cemento o firme</c:v>
                </c:pt>
                <c:pt idx="2">
                  <c:v>Madera, mosaico u otro</c:v>
                </c:pt>
                <c:pt idx="3">
                  <c:v>No especificado</c:v>
                </c:pt>
              </c:strCache>
            </c:strRef>
          </c:cat>
          <c:val>
            <c:numRef>
              <c:f>'CALIDAD VIVIENDAS'!$D$11:$D$14</c:f>
              <c:numCache>
                <c:formatCode>0.00%</c:formatCode>
                <c:ptCount val="4"/>
                <c:pt idx="0">
                  <c:v>8.3060824068018319E-2</c:v>
                </c:pt>
                <c:pt idx="1">
                  <c:v>0.87521255722694569</c:v>
                </c:pt>
                <c:pt idx="2">
                  <c:v>4.1595814257684764E-2</c:v>
                </c:pt>
                <c:pt idx="3">
                  <c:v>1.3080444735120994E-4</c:v>
                </c:pt>
              </c:numCache>
            </c:numRef>
          </c:val>
          <c:extLst>
            <c:ext xmlns:c16="http://schemas.microsoft.com/office/drawing/2014/chart" uri="{C3380CC4-5D6E-409C-BE32-E72D297353CC}">
              <c16:uniqueId val="{00000004-F828-47BA-8E96-A6D787AD81B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rgbClr val="595959"/>
                </a:solidFill>
                <a:latin typeface="Arial" panose="020B0604020202020204" pitchFamily="34" charset="0"/>
                <a:ea typeface="+mn-ea"/>
                <a:cs typeface="Arial" panose="020B0604020202020204" pitchFamily="34" charset="0"/>
              </a:defRPr>
            </a:pPr>
            <a:r>
              <a:rPr lang="es-MX" sz="1000">
                <a:latin typeface="Arial" panose="020B0604020202020204" pitchFamily="34" charset="0"/>
                <a:cs typeface="Arial" panose="020B0604020202020204" pitchFamily="34" charset="0"/>
              </a:rPr>
              <a:t>Porcentaje de viviendas por número de ocupantes. 2020</a:t>
            </a:r>
          </a:p>
        </c:rich>
      </c:tx>
      <c:layout>
        <c:manualLayout>
          <c:xMode val="edge"/>
          <c:yMode val="edge"/>
          <c:x val="0.11459145549731276"/>
          <c:y val="1.0379320660399233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rgbClr val="595959"/>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5.0560253121315485E-2"/>
          <c:y val="0.2433726591124698"/>
          <c:w val="0.91333332919748644"/>
          <c:h val="0.44319616525766187"/>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D3C2B4"/>
              </a:solidFill>
              <a:ln>
                <a:noFill/>
              </a:ln>
              <a:effectLst/>
            </c:spPr>
            <c:extLst>
              <c:ext xmlns:c16="http://schemas.microsoft.com/office/drawing/2014/chart" uri="{C3380CC4-5D6E-409C-BE32-E72D297353CC}">
                <c16:uniqueId val="{00000001-74F1-459C-95D4-781A0C311140}"/>
              </c:ext>
            </c:extLst>
          </c:dPt>
          <c:dPt>
            <c:idx val="1"/>
            <c:invertIfNegative val="0"/>
            <c:bubble3D val="0"/>
            <c:spPr>
              <a:solidFill>
                <a:srgbClr val="009885"/>
              </a:solidFill>
              <a:ln>
                <a:noFill/>
              </a:ln>
              <a:effectLst/>
            </c:spPr>
            <c:extLst>
              <c:ext xmlns:c16="http://schemas.microsoft.com/office/drawing/2014/chart" uri="{C3380CC4-5D6E-409C-BE32-E72D297353CC}">
                <c16:uniqueId val="{00000003-74F1-459C-95D4-781A0C311140}"/>
              </c:ext>
            </c:extLst>
          </c:dPt>
          <c:dPt>
            <c:idx val="2"/>
            <c:invertIfNegative val="0"/>
            <c:bubble3D val="0"/>
            <c:spPr>
              <a:solidFill>
                <a:srgbClr val="C90166"/>
              </a:solidFill>
              <a:ln>
                <a:noFill/>
              </a:ln>
              <a:effectLst/>
            </c:spPr>
            <c:extLst>
              <c:ext xmlns:c16="http://schemas.microsoft.com/office/drawing/2014/chart" uri="{C3380CC4-5D6E-409C-BE32-E72D297353CC}">
                <c16:uniqueId val="{00000005-74F1-459C-95D4-781A0C311140}"/>
              </c:ext>
            </c:extLst>
          </c:dPt>
          <c:dPt>
            <c:idx val="3"/>
            <c:invertIfNegative val="0"/>
            <c:bubble3D val="0"/>
            <c:spPr>
              <a:solidFill>
                <a:srgbClr val="AE192D"/>
              </a:solidFill>
              <a:ln>
                <a:noFill/>
              </a:ln>
              <a:effectLst/>
            </c:spPr>
            <c:extLst>
              <c:ext xmlns:c16="http://schemas.microsoft.com/office/drawing/2014/chart" uri="{C3380CC4-5D6E-409C-BE32-E72D297353CC}">
                <c16:uniqueId val="{00000007-74F1-459C-95D4-781A0C311140}"/>
              </c:ext>
            </c:extLst>
          </c:dPt>
          <c:dPt>
            <c:idx val="4"/>
            <c:invertIfNegative val="0"/>
            <c:bubble3D val="0"/>
            <c:spPr>
              <a:solidFill>
                <a:srgbClr val="D3C2B4">
                  <a:alpha val="50000"/>
                </a:srgbClr>
              </a:solidFill>
              <a:ln>
                <a:noFill/>
              </a:ln>
              <a:effectLst/>
            </c:spPr>
            <c:extLst>
              <c:ext xmlns:c16="http://schemas.microsoft.com/office/drawing/2014/chart" uri="{C3380CC4-5D6E-409C-BE32-E72D297353CC}">
                <c16:uniqueId val="{00000009-74F1-459C-95D4-781A0C311140}"/>
              </c:ext>
            </c:extLst>
          </c:dPt>
          <c:dPt>
            <c:idx val="5"/>
            <c:invertIfNegative val="0"/>
            <c:bubble3D val="0"/>
            <c:spPr>
              <a:solidFill>
                <a:srgbClr val="009885">
                  <a:alpha val="50000"/>
                </a:srgbClr>
              </a:solidFill>
              <a:ln>
                <a:noFill/>
              </a:ln>
              <a:effectLst/>
            </c:spPr>
            <c:extLst>
              <c:ext xmlns:c16="http://schemas.microsoft.com/office/drawing/2014/chart" uri="{C3380CC4-5D6E-409C-BE32-E72D297353CC}">
                <c16:uniqueId val="{0000000B-74F1-459C-95D4-781A0C311140}"/>
              </c:ext>
            </c:extLst>
          </c:dPt>
          <c:dPt>
            <c:idx val="6"/>
            <c:invertIfNegative val="0"/>
            <c:bubble3D val="0"/>
            <c:spPr>
              <a:solidFill>
                <a:srgbClr val="C90166">
                  <a:alpha val="50000"/>
                </a:srgbClr>
              </a:solidFill>
              <a:ln>
                <a:noFill/>
              </a:ln>
              <a:effectLst/>
            </c:spPr>
            <c:extLst>
              <c:ext xmlns:c16="http://schemas.microsoft.com/office/drawing/2014/chart" uri="{C3380CC4-5D6E-409C-BE32-E72D297353CC}">
                <c16:uniqueId val="{0000000D-74F1-459C-95D4-781A0C311140}"/>
              </c:ext>
            </c:extLst>
          </c:dPt>
          <c:dPt>
            <c:idx val="7"/>
            <c:invertIfNegative val="0"/>
            <c:bubble3D val="0"/>
            <c:spPr>
              <a:solidFill>
                <a:srgbClr val="AE192D"/>
              </a:solidFill>
              <a:ln>
                <a:noFill/>
              </a:ln>
              <a:effectLst/>
            </c:spPr>
            <c:extLst>
              <c:ext xmlns:c16="http://schemas.microsoft.com/office/drawing/2014/chart" uri="{C3380CC4-5D6E-409C-BE32-E72D297353CC}">
                <c16:uniqueId val="{00000010-74F1-459C-95D4-781A0C311140}"/>
              </c:ext>
            </c:extLst>
          </c:dPt>
          <c:dPt>
            <c:idx val="8"/>
            <c:invertIfNegative val="0"/>
            <c:bubble3D val="0"/>
            <c:spPr>
              <a:solidFill>
                <a:srgbClr val="D3C2B4">
                  <a:alpha val="75000"/>
                </a:srgbClr>
              </a:solidFill>
              <a:ln>
                <a:noFill/>
              </a:ln>
              <a:effectLst/>
            </c:spPr>
            <c:extLst>
              <c:ext xmlns:c16="http://schemas.microsoft.com/office/drawing/2014/chart" uri="{C3380CC4-5D6E-409C-BE32-E72D297353CC}">
                <c16:uniqueId val="{00000011-74F1-459C-95D4-781A0C311140}"/>
              </c:ext>
            </c:extLst>
          </c:dPt>
          <c:dLbls>
            <c:dLbl>
              <c:idx val="0"/>
              <c:layout>
                <c:manualLayout>
                  <c:x val="1.2636166299908297E-2"/>
                  <c:y val="2.56070672817290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F1-459C-95D4-781A0C311140}"/>
                </c:ext>
              </c:extLst>
            </c:dLbl>
            <c:dLbl>
              <c:idx val="1"/>
              <c:layout>
                <c:manualLayout>
                  <c:x val="1.6848221733211082E-2"/>
                  <c:y val="2.56070672817291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F1-459C-95D4-781A0C311140}"/>
                </c:ext>
              </c:extLst>
            </c:dLbl>
            <c:dLbl>
              <c:idx val="2"/>
              <c:layout>
                <c:manualLayout>
                  <c:x val="1.6848221733211061E-2"/>
                  <c:y val="2.56070672817291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F1-459C-95D4-781A0C311140}"/>
                </c:ext>
              </c:extLst>
            </c:dLbl>
            <c:dLbl>
              <c:idx val="3"/>
              <c:layout>
                <c:manualLayout>
                  <c:x val="2.5272332599816594E-2"/>
                  <c:y val="2.56070672817291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F1-459C-95D4-781A0C311140}"/>
                </c:ext>
              </c:extLst>
            </c:dLbl>
            <c:dLbl>
              <c:idx val="4"/>
              <c:layout>
                <c:manualLayout>
                  <c:x val="2.5272332599816517E-2"/>
                  <c:y val="2.1339222734774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F1-459C-95D4-781A0C311140}"/>
                </c:ext>
              </c:extLst>
            </c:dLbl>
            <c:dLbl>
              <c:idx val="5"/>
              <c:layout>
                <c:manualLayout>
                  <c:x val="2.5272332599816594E-2"/>
                  <c:y val="2.1339222734774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F1-459C-95D4-781A0C311140}"/>
                </c:ext>
              </c:extLst>
            </c:dLbl>
            <c:dLbl>
              <c:idx val="6"/>
              <c:layout>
                <c:manualLayout>
                  <c:x val="2.5272332599816517E-2"/>
                  <c:y val="2.56070672817291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F1-459C-95D4-781A0C311140}"/>
                </c:ext>
              </c:extLst>
            </c:dLbl>
            <c:dLbl>
              <c:idx val="7"/>
              <c:layout>
                <c:manualLayout>
                  <c:x val="4.2120554333027653E-3"/>
                  <c:y val="2.56070672817291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4F1-459C-95D4-781A0C311140}"/>
                </c:ext>
              </c:extLst>
            </c:dLbl>
            <c:dLbl>
              <c:idx val="8"/>
              <c:layout>
                <c:manualLayout>
                  <c:x val="2.1060277166513829E-2"/>
                  <c:y val="1.28035336408645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4F1-459C-95D4-781A0C311140}"/>
                </c:ext>
              </c:extLst>
            </c:dLbl>
            <c:spPr>
              <a:noFill/>
              <a:ln>
                <a:noFill/>
              </a:ln>
              <a:effectLst/>
            </c:spPr>
            <c:txPr>
              <a:bodyPr rot="-2700000" spcFirstLastPara="1" vertOverflow="ellipsis" wrap="square" lIns="38100" tIns="19050" rIns="38100" bIns="19050" anchor="ctr" anchorCtr="1">
                <a:spAutoFit/>
              </a:bodyPr>
              <a:lstStyle/>
              <a:p>
                <a:pPr>
                  <a:defRPr sz="7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'ESPACIO VIVIENDAS'!$B$11:$B$19</c:f>
              <c:strCache>
                <c:ptCount val="9"/>
                <c:pt idx="0">
                  <c:v>1 ocupante</c:v>
                </c:pt>
                <c:pt idx="1">
                  <c:v>2 ocupantes</c:v>
                </c:pt>
                <c:pt idx="2">
                  <c:v>3 ocupantes</c:v>
                </c:pt>
                <c:pt idx="3">
                  <c:v>4 ocupantes</c:v>
                </c:pt>
                <c:pt idx="4">
                  <c:v>5 ocupantes</c:v>
                </c:pt>
                <c:pt idx="5">
                  <c:v>6 ocupantes</c:v>
                </c:pt>
                <c:pt idx="6">
                  <c:v>7 ocupantes</c:v>
                </c:pt>
                <c:pt idx="7">
                  <c:v>8 ocupantes</c:v>
                </c:pt>
                <c:pt idx="8">
                  <c:v>9 ocupantes y más</c:v>
                </c:pt>
              </c:strCache>
            </c:strRef>
          </c:cat>
          <c:val>
            <c:numRef>
              <c:f>'ESPACIO VIVIENDAS'!$D$11:$D$19</c:f>
              <c:numCache>
                <c:formatCode>0.00%</c:formatCode>
                <c:ptCount val="9"/>
                <c:pt idx="0">
                  <c:v>0.11327665140614782</c:v>
                </c:pt>
                <c:pt idx="1">
                  <c:v>0.16756049705689993</c:v>
                </c:pt>
                <c:pt idx="2">
                  <c:v>0.19738391105297581</c:v>
                </c:pt>
                <c:pt idx="3">
                  <c:v>0.20222367560497057</c:v>
                </c:pt>
                <c:pt idx="4">
                  <c:v>0.15094833224329626</c:v>
                </c:pt>
                <c:pt idx="5">
                  <c:v>8.2668410725964689E-2</c:v>
                </c:pt>
                <c:pt idx="6">
                  <c:v>4.2903858731196863E-2</c:v>
                </c:pt>
                <c:pt idx="7">
                  <c:v>2.275997383911053E-2</c:v>
                </c:pt>
                <c:pt idx="8">
                  <c:v>2.0274689339437543E-2</c:v>
                </c:pt>
              </c:numCache>
            </c:numRef>
          </c:val>
          <c:extLst>
            <c:ext xmlns:c16="http://schemas.microsoft.com/office/drawing/2014/chart" uri="{C3380CC4-5D6E-409C-BE32-E72D297353CC}">
              <c16:uniqueId val="{0000000E-74F1-459C-95D4-781A0C311140}"/>
            </c:ext>
          </c:extLst>
        </c:ser>
        <c:dLbls>
          <c:showLegendKey val="0"/>
          <c:showVal val="0"/>
          <c:showCatName val="0"/>
          <c:showSerName val="0"/>
          <c:showPercent val="0"/>
          <c:showBubbleSize val="0"/>
        </c:dLbls>
        <c:gapWidth val="30"/>
        <c:axId val="642137064"/>
        <c:axId val="642138048"/>
      </c:barChart>
      <c:catAx>
        <c:axId val="642137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crossAx val="642138048"/>
        <c:crosses val="autoZero"/>
        <c:auto val="1"/>
        <c:lblAlgn val="ctr"/>
        <c:lblOffset val="100"/>
        <c:noMultiLvlLbl val="0"/>
      </c:catAx>
      <c:valAx>
        <c:axId val="642138048"/>
        <c:scaling>
          <c:orientation val="minMax"/>
        </c:scaling>
        <c:delete val="1"/>
        <c:axPos val="l"/>
        <c:numFmt formatCode="0.00%" sourceLinked="1"/>
        <c:majorTickMark val="none"/>
        <c:minorTickMark val="none"/>
        <c:tickLblPos val="nextTo"/>
        <c:crossAx val="64213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solidFill>
            <a:srgbClr val="595959"/>
          </a:solidFill>
          <a:latin typeface="Gotham Book" panose="02000604040000020004" pitchFamily="50" charset="0"/>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rgbClr val="595959"/>
                </a:solidFill>
                <a:latin typeface="Arial" panose="020B0604020202020204" pitchFamily="34" charset="0"/>
                <a:ea typeface="+mn-ea"/>
                <a:cs typeface="Arial" panose="020B0604020202020204" pitchFamily="34" charset="0"/>
              </a:defRPr>
            </a:pPr>
            <a:r>
              <a:rPr lang="es-MX" sz="1000">
                <a:latin typeface="Arial" panose="020B0604020202020204" pitchFamily="34" charset="0"/>
                <a:cs typeface="Arial" panose="020B0604020202020204" pitchFamily="34" charset="0"/>
              </a:rPr>
              <a:t>Porcentaje de viviendas por número de dormitorios. 2020</a:t>
            </a:r>
          </a:p>
        </c:rich>
      </c:tx>
      <c:layout>
        <c:manualLayout>
          <c:xMode val="edge"/>
          <c:yMode val="edge"/>
          <c:x val="0.14407574059058653"/>
          <c:y val="1.03792343394107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rgbClr val="595959"/>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5.0560253121315485E-2"/>
          <c:y val="0.2433726591124698"/>
          <c:w val="0.91333332919748644"/>
          <c:h val="0.64148666613134897"/>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D3C2B4"/>
              </a:solidFill>
              <a:ln>
                <a:noFill/>
              </a:ln>
              <a:effectLst/>
            </c:spPr>
            <c:extLst>
              <c:ext xmlns:c16="http://schemas.microsoft.com/office/drawing/2014/chart" uri="{C3380CC4-5D6E-409C-BE32-E72D297353CC}">
                <c16:uniqueId val="{00000001-FF4D-48FE-A929-A2A4C633688E}"/>
              </c:ext>
            </c:extLst>
          </c:dPt>
          <c:dPt>
            <c:idx val="1"/>
            <c:invertIfNegative val="0"/>
            <c:bubble3D val="0"/>
            <c:spPr>
              <a:solidFill>
                <a:srgbClr val="009885"/>
              </a:solidFill>
              <a:ln>
                <a:noFill/>
              </a:ln>
              <a:effectLst/>
            </c:spPr>
            <c:extLst>
              <c:ext xmlns:c16="http://schemas.microsoft.com/office/drawing/2014/chart" uri="{C3380CC4-5D6E-409C-BE32-E72D297353CC}">
                <c16:uniqueId val="{00000003-FF4D-48FE-A929-A2A4C633688E}"/>
              </c:ext>
            </c:extLst>
          </c:dPt>
          <c:dPt>
            <c:idx val="2"/>
            <c:invertIfNegative val="0"/>
            <c:bubble3D val="0"/>
            <c:spPr>
              <a:solidFill>
                <a:srgbClr val="C90166"/>
              </a:solidFill>
              <a:ln>
                <a:noFill/>
              </a:ln>
              <a:effectLst/>
            </c:spPr>
            <c:extLst>
              <c:ext xmlns:c16="http://schemas.microsoft.com/office/drawing/2014/chart" uri="{C3380CC4-5D6E-409C-BE32-E72D297353CC}">
                <c16:uniqueId val="{00000005-FF4D-48FE-A929-A2A4C633688E}"/>
              </c:ext>
            </c:extLst>
          </c:dPt>
          <c:dPt>
            <c:idx val="3"/>
            <c:invertIfNegative val="0"/>
            <c:bubble3D val="0"/>
            <c:spPr>
              <a:solidFill>
                <a:srgbClr val="AE192D"/>
              </a:solidFill>
              <a:ln>
                <a:noFill/>
              </a:ln>
              <a:effectLst/>
            </c:spPr>
            <c:extLst>
              <c:ext xmlns:c16="http://schemas.microsoft.com/office/drawing/2014/chart" uri="{C3380CC4-5D6E-409C-BE32-E72D297353CC}">
                <c16:uniqueId val="{00000007-FF4D-48FE-A929-A2A4C633688E}"/>
              </c:ext>
            </c:extLst>
          </c:dPt>
          <c:dPt>
            <c:idx val="4"/>
            <c:invertIfNegative val="0"/>
            <c:bubble3D val="0"/>
            <c:spPr>
              <a:solidFill>
                <a:srgbClr val="D3C2B4">
                  <a:alpha val="50000"/>
                </a:srgbClr>
              </a:solidFill>
              <a:ln>
                <a:noFill/>
              </a:ln>
              <a:effectLst/>
            </c:spPr>
            <c:extLst>
              <c:ext xmlns:c16="http://schemas.microsoft.com/office/drawing/2014/chart" uri="{C3380CC4-5D6E-409C-BE32-E72D297353CC}">
                <c16:uniqueId val="{00000009-FF4D-48FE-A929-A2A4C633688E}"/>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'ESPACIO VIVIENDAS'!$B$25:$B$29</c:f>
              <c:strCache>
                <c:ptCount val="5"/>
                <c:pt idx="0">
                  <c:v>1 dormitorio</c:v>
                </c:pt>
                <c:pt idx="1">
                  <c:v>2 dormitorios</c:v>
                </c:pt>
                <c:pt idx="2">
                  <c:v>3 dormitorios</c:v>
                </c:pt>
                <c:pt idx="3">
                  <c:v>4 dormitorios</c:v>
                </c:pt>
                <c:pt idx="4">
                  <c:v>5 dormitorios y más</c:v>
                </c:pt>
              </c:strCache>
            </c:strRef>
          </c:cat>
          <c:val>
            <c:numRef>
              <c:f>'ESPACIO VIVIENDAS'!$D$25:$D$29</c:f>
              <c:numCache>
                <c:formatCode>0.00%</c:formatCode>
                <c:ptCount val="5"/>
                <c:pt idx="0">
                  <c:v>0.50575614861329143</c:v>
                </c:pt>
                <c:pt idx="1">
                  <c:v>0.34863945578231292</c:v>
                </c:pt>
                <c:pt idx="2">
                  <c:v>0.11564625850340136</c:v>
                </c:pt>
                <c:pt idx="3">
                  <c:v>2.6818419675562533E-2</c:v>
                </c:pt>
                <c:pt idx="4">
                  <c:v>3.1397174254317113E-3</c:v>
                </c:pt>
              </c:numCache>
            </c:numRef>
          </c:val>
          <c:extLst>
            <c:ext xmlns:c16="http://schemas.microsoft.com/office/drawing/2014/chart" uri="{C3380CC4-5D6E-409C-BE32-E72D297353CC}">
              <c16:uniqueId val="{00000012-FF4D-48FE-A929-A2A4C633688E}"/>
            </c:ext>
          </c:extLst>
        </c:ser>
        <c:dLbls>
          <c:showLegendKey val="0"/>
          <c:showVal val="0"/>
          <c:showCatName val="0"/>
          <c:showSerName val="0"/>
          <c:showPercent val="0"/>
          <c:showBubbleSize val="0"/>
        </c:dLbls>
        <c:gapWidth val="30"/>
        <c:axId val="642137064"/>
        <c:axId val="642138048"/>
      </c:barChart>
      <c:catAx>
        <c:axId val="642137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crossAx val="642138048"/>
        <c:crosses val="autoZero"/>
        <c:auto val="1"/>
        <c:lblAlgn val="ctr"/>
        <c:lblOffset val="100"/>
        <c:noMultiLvlLbl val="0"/>
      </c:catAx>
      <c:valAx>
        <c:axId val="642138048"/>
        <c:scaling>
          <c:orientation val="minMax"/>
        </c:scaling>
        <c:delete val="1"/>
        <c:axPos val="l"/>
        <c:numFmt formatCode="0.00%" sourceLinked="1"/>
        <c:majorTickMark val="none"/>
        <c:minorTickMark val="none"/>
        <c:tickLblPos val="nextTo"/>
        <c:crossAx val="64213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solidFill>
            <a:srgbClr val="595959"/>
          </a:solidFill>
          <a:latin typeface="Gotham Book" panose="02000604040000020004" pitchFamily="50"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595959"/>
                </a:solidFill>
                <a:latin typeface="Arial" panose="020B0604020202020204" pitchFamily="34" charset="0"/>
                <a:ea typeface="+mn-ea"/>
                <a:cs typeface="Arial" panose="020B0604020202020204" pitchFamily="34" charset="0"/>
              </a:defRPr>
            </a:pPr>
            <a:r>
              <a:rPr lang="es-MX">
                <a:solidFill>
                  <a:srgbClr val="595959"/>
                </a:solidFill>
                <a:latin typeface="Arial" panose="020B0604020202020204" pitchFamily="34" charset="0"/>
                <a:cs typeface="Arial" panose="020B0604020202020204" pitchFamily="34" charset="0"/>
              </a:rPr>
              <a:t>Población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595959"/>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spPr>
            <a:solidFill>
              <a:srgbClr val="D3C2B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'POBLACIÓN TOTAL'!$B$9:$B$12</c:f>
              <c:strCache>
                <c:ptCount val="4"/>
                <c:pt idx="0">
                  <c:v>2020</c:v>
                </c:pt>
                <c:pt idx="1">
                  <c:v>2015</c:v>
                </c:pt>
                <c:pt idx="2">
                  <c:v>2010</c:v>
                </c:pt>
                <c:pt idx="3">
                  <c:v>2000</c:v>
                </c:pt>
              </c:strCache>
            </c:strRef>
          </c:cat>
          <c:val>
            <c:numRef>
              <c:f>'POBLACIÓN TOTAL'!$C$9:$C$12</c:f>
              <c:numCache>
                <c:formatCode>#,##0</c:formatCode>
                <c:ptCount val="4"/>
                <c:pt idx="0">
                  <c:v>30297</c:v>
                </c:pt>
                <c:pt idx="1">
                  <c:v>28961</c:v>
                </c:pt>
                <c:pt idx="2">
                  <c:v>27899</c:v>
                </c:pt>
                <c:pt idx="3">
                  <c:v>26706</c:v>
                </c:pt>
              </c:numCache>
            </c:numRef>
          </c:val>
          <c:extLst>
            <c:ext xmlns:c16="http://schemas.microsoft.com/office/drawing/2014/chart" uri="{C3380CC4-5D6E-409C-BE32-E72D297353CC}">
              <c16:uniqueId val="{00000000-9770-4BE0-B32F-116E8F431F21}"/>
            </c:ext>
          </c:extLst>
        </c:ser>
        <c:dLbls>
          <c:showLegendKey val="0"/>
          <c:showVal val="0"/>
          <c:showCatName val="0"/>
          <c:showSerName val="0"/>
          <c:showPercent val="0"/>
          <c:showBubbleSize val="0"/>
        </c:dLbls>
        <c:gapWidth val="50"/>
        <c:overlap val="-27"/>
        <c:axId val="642137064"/>
        <c:axId val="642138048"/>
      </c:barChart>
      <c:catAx>
        <c:axId val="64213706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crossAx val="642138048"/>
        <c:crosses val="autoZero"/>
        <c:auto val="1"/>
        <c:lblAlgn val="ctr"/>
        <c:lblOffset val="100"/>
        <c:noMultiLvlLbl val="0"/>
      </c:catAx>
      <c:valAx>
        <c:axId val="642138048"/>
        <c:scaling>
          <c:orientation val="minMax"/>
        </c:scaling>
        <c:delete val="1"/>
        <c:axPos val="r"/>
        <c:numFmt formatCode="#,##0" sourceLinked="1"/>
        <c:majorTickMark val="none"/>
        <c:minorTickMark val="none"/>
        <c:tickLblPos val="nextTo"/>
        <c:crossAx val="64213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solidFill>
            <a:sysClr val="windowText" lastClr="000000"/>
          </a:solidFill>
          <a:latin typeface="Gotham Book" panose="02000604040000020004" pitchFamily="50"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Arial" panose="020B0604020202020204" pitchFamily="34" charset="0"/>
                <a:ea typeface="+mn-ea"/>
                <a:cs typeface="Arial" panose="020B0604020202020204" pitchFamily="34" charset="0"/>
              </a:defRPr>
            </a:pPr>
            <a:r>
              <a:rPr lang="es-MX">
                <a:latin typeface="Arial" panose="020B0604020202020204" pitchFamily="34" charset="0"/>
                <a:cs typeface="Arial" panose="020B0604020202020204" pitchFamily="34" charset="0"/>
              </a:rPr>
              <a:t>Estructura de la población (habitantes). 2020</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bar"/>
        <c:grouping val="stacked"/>
        <c:varyColors val="0"/>
        <c:ser>
          <c:idx val="0"/>
          <c:order val="0"/>
          <c:tx>
            <c:strRef>
              <c:f>'POBLACIÓN TOTAL'!$P$8</c:f>
              <c:strCache>
                <c:ptCount val="1"/>
                <c:pt idx="0">
                  <c:v>Hombres</c:v>
                </c:pt>
              </c:strCache>
            </c:strRef>
          </c:tx>
          <c:spPr>
            <a:solidFill>
              <a:srgbClr val="D3C2B4"/>
            </a:solidFill>
            <a:ln w="9525" cap="flat" cmpd="sng" algn="ctr">
              <a:solidFill>
                <a:srgbClr val="D3C2B4"/>
              </a:solidFill>
              <a:round/>
            </a:ln>
            <a:effectLst/>
          </c:spPr>
          <c:invertIfNegative val="0"/>
          <c:dLbls>
            <c:dLbl>
              <c:idx val="11"/>
              <c:layout>
                <c:manualLayout>
                  <c:x val="-6.9808027923211171E-3"/>
                  <c:y val="2.6171479725265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14-40E0-91A5-F0B78EE54748}"/>
                </c:ext>
              </c:extLst>
            </c:dLbl>
            <c:dLbl>
              <c:idx val="12"/>
              <c:layout>
                <c:manualLayout>
                  <c:x val="-1.3961605584642234E-2"/>
                  <c:y val="2.2481129904206002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14-40E0-91A5-F0B78EE54748}"/>
                </c:ext>
              </c:extLst>
            </c:dLbl>
            <c:numFmt formatCode="#,##0.00;[Black]#,##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'POBLACIÓN TOTAL'!$O$9:$O$22</c:f>
              <c:strCache>
                <c:ptCount val="14"/>
                <c:pt idx="0">
                  <c:v>00-04 Años</c:v>
                </c:pt>
                <c:pt idx="1">
                  <c:v>05-09 Años</c:v>
                </c:pt>
                <c:pt idx="2">
                  <c:v>10-14 Años</c:v>
                </c:pt>
                <c:pt idx="3">
                  <c:v>15-19 Años</c:v>
                </c:pt>
                <c:pt idx="4">
                  <c:v>20-24 Años</c:v>
                </c:pt>
                <c:pt idx="5">
                  <c:v>25-29 Años</c:v>
                </c:pt>
                <c:pt idx="6">
                  <c:v>30-34 Años</c:v>
                </c:pt>
                <c:pt idx="7">
                  <c:v>35-39 Años</c:v>
                </c:pt>
                <c:pt idx="8">
                  <c:v>40-44 Años</c:v>
                </c:pt>
                <c:pt idx="9">
                  <c:v>45-49 Años</c:v>
                </c:pt>
                <c:pt idx="10">
                  <c:v>50-54 Años</c:v>
                </c:pt>
                <c:pt idx="11">
                  <c:v>55-59 Años</c:v>
                </c:pt>
                <c:pt idx="12">
                  <c:v>60-64 Años</c:v>
                </c:pt>
                <c:pt idx="13">
                  <c:v>65 y más años</c:v>
                </c:pt>
              </c:strCache>
            </c:strRef>
          </c:cat>
          <c:val>
            <c:numRef>
              <c:f>'POBLACIÓN TOTAL'!$P$9:$P$22</c:f>
              <c:numCache>
                <c:formatCode>#,##0</c:formatCode>
                <c:ptCount val="14"/>
                <c:pt idx="0">
                  <c:v>-1457</c:v>
                </c:pt>
                <c:pt idx="1">
                  <c:v>-1591</c:v>
                </c:pt>
                <c:pt idx="2">
                  <c:v>-1520</c:v>
                </c:pt>
                <c:pt idx="3">
                  <c:v>-1315</c:v>
                </c:pt>
                <c:pt idx="4">
                  <c:v>-1087</c:v>
                </c:pt>
                <c:pt idx="5">
                  <c:v>-1228</c:v>
                </c:pt>
                <c:pt idx="6">
                  <c:v>-1163</c:v>
                </c:pt>
                <c:pt idx="7">
                  <c:v>-1098</c:v>
                </c:pt>
                <c:pt idx="8">
                  <c:v>-972</c:v>
                </c:pt>
                <c:pt idx="9">
                  <c:v>-854</c:v>
                </c:pt>
                <c:pt idx="10">
                  <c:v>-799</c:v>
                </c:pt>
                <c:pt idx="11">
                  <c:v>-618</c:v>
                </c:pt>
                <c:pt idx="12">
                  <c:v>-521</c:v>
                </c:pt>
                <c:pt idx="13">
                  <c:v>-1354</c:v>
                </c:pt>
              </c:numCache>
            </c:numRef>
          </c:val>
          <c:extLst>
            <c:ext xmlns:c16="http://schemas.microsoft.com/office/drawing/2014/chart" uri="{C3380CC4-5D6E-409C-BE32-E72D297353CC}">
              <c16:uniqueId val="{00000000-7A14-40E0-91A5-F0B78EE54748}"/>
            </c:ext>
          </c:extLst>
        </c:ser>
        <c:ser>
          <c:idx val="1"/>
          <c:order val="1"/>
          <c:tx>
            <c:strRef>
              <c:f>'POBLACIÓN TOTAL'!$Q$8</c:f>
              <c:strCache>
                <c:ptCount val="1"/>
                <c:pt idx="0">
                  <c:v>Mujeres</c:v>
                </c:pt>
              </c:strCache>
            </c:strRef>
          </c:tx>
          <c:spPr>
            <a:solidFill>
              <a:srgbClr val="009885"/>
            </a:solidFill>
            <a:ln w="9525" cap="flat" cmpd="sng" algn="ctr">
              <a:solidFill>
                <a:srgbClr val="009885"/>
              </a:solidFill>
              <a:round/>
            </a:ln>
            <a:effectLst/>
          </c:spPr>
          <c:invertIfNegative val="0"/>
          <c:dLbls>
            <c:dLbl>
              <c:idx val="12"/>
              <c:layout>
                <c:manualLayout>
                  <c:x val="1.163467132053519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14-40E0-91A5-F0B78EE54748}"/>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'POBLACIÓN TOTAL'!$O$9:$O$22</c:f>
              <c:strCache>
                <c:ptCount val="14"/>
                <c:pt idx="0">
                  <c:v>00-04 Años</c:v>
                </c:pt>
                <c:pt idx="1">
                  <c:v>05-09 Años</c:v>
                </c:pt>
                <c:pt idx="2">
                  <c:v>10-14 Años</c:v>
                </c:pt>
                <c:pt idx="3">
                  <c:v>15-19 Años</c:v>
                </c:pt>
                <c:pt idx="4">
                  <c:v>20-24 Años</c:v>
                </c:pt>
                <c:pt idx="5">
                  <c:v>25-29 Años</c:v>
                </c:pt>
                <c:pt idx="6">
                  <c:v>30-34 Años</c:v>
                </c:pt>
                <c:pt idx="7">
                  <c:v>35-39 Años</c:v>
                </c:pt>
                <c:pt idx="8">
                  <c:v>40-44 Años</c:v>
                </c:pt>
                <c:pt idx="9">
                  <c:v>45-49 Años</c:v>
                </c:pt>
                <c:pt idx="10">
                  <c:v>50-54 Años</c:v>
                </c:pt>
                <c:pt idx="11">
                  <c:v>55-59 Años</c:v>
                </c:pt>
                <c:pt idx="12">
                  <c:v>60-64 Años</c:v>
                </c:pt>
                <c:pt idx="13">
                  <c:v>65 y más años</c:v>
                </c:pt>
              </c:strCache>
            </c:strRef>
          </c:cat>
          <c:val>
            <c:numRef>
              <c:f>'POBLACIÓN TOTAL'!$Q$9:$Q$22</c:f>
              <c:numCache>
                <c:formatCode>#,##0</c:formatCode>
                <c:ptCount val="14"/>
                <c:pt idx="0">
                  <c:v>1414</c:v>
                </c:pt>
                <c:pt idx="1">
                  <c:v>1640</c:v>
                </c:pt>
                <c:pt idx="2">
                  <c:v>1426</c:v>
                </c:pt>
                <c:pt idx="3">
                  <c:v>1330</c:v>
                </c:pt>
                <c:pt idx="4">
                  <c:v>1140</c:v>
                </c:pt>
                <c:pt idx="5">
                  <c:v>1124</c:v>
                </c:pt>
                <c:pt idx="6">
                  <c:v>1088</c:v>
                </c:pt>
                <c:pt idx="7">
                  <c:v>968</c:v>
                </c:pt>
                <c:pt idx="8">
                  <c:v>831</c:v>
                </c:pt>
                <c:pt idx="9">
                  <c:v>803</c:v>
                </c:pt>
                <c:pt idx="10">
                  <c:v>766</c:v>
                </c:pt>
                <c:pt idx="11">
                  <c:v>536</c:v>
                </c:pt>
                <c:pt idx="12">
                  <c:v>471</c:v>
                </c:pt>
                <c:pt idx="13">
                  <c:v>1181</c:v>
                </c:pt>
              </c:numCache>
            </c:numRef>
          </c:val>
          <c:extLst>
            <c:ext xmlns:c16="http://schemas.microsoft.com/office/drawing/2014/chart" uri="{C3380CC4-5D6E-409C-BE32-E72D297353CC}">
              <c16:uniqueId val="{00000001-7A14-40E0-91A5-F0B78EE54748}"/>
            </c:ext>
          </c:extLst>
        </c:ser>
        <c:dLbls>
          <c:showLegendKey val="0"/>
          <c:showVal val="1"/>
          <c:showCatName val="0"/>
          <c:showSerName val="0"/>
          <c:showPercent val="0"/>
          <c:showBubbleSize val="0"/>
        </c:dLbls>
        <c:gapWidth val="10"/>
        <c:overlap val="100"/>
        <c:axId val="763012552"/>
        <c:axId val="763013536"/>
      </c:barChart>
      <c:catAx>
        <c:axId val="7630125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s-MX"/>
          </a:p>
        </c:txPr>
        <c:crossAx val="763013536"/>
        <c:crosses val="autoZero"/>
        <c:auto val="1"/>
        <c:lblAlgn val="ctr"/>
        <c:lblOffset val="100"/>
        <c:noMultiLvlLbl val="0"/>
      </c:catAx>
      <c:valAx>
        <c:axId val="763013536"/>
        <c:scaling>
          <c:orientation val="minMax"/>
        </c:scaling>
        <c:delete val="0"/>
        <c:axPos val="b"/>
        <c:numFmt formatCode="#,##0;[Black]#,##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Gotham Book" panose="02000604040000020004" pitchFamily="50" charset="0"/>
                <a:ea typeface="+mn-ea"/>
                <a:cs typeface="+mn-cs"/>
              </a:defRPr>
            </a:pPr>
            <a:endParaRPr lang="es-MX"/>
          </a:p>
        </c:txPr>
        <c:crossAx val="763012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Gotham Book" panose="02000604040000020004" pitchFamily="50" charset="0"/>
              <a:ea typeface="+mn-ea"/>
              <a:cs typeface="+mn-cs"/>
            </a:defRPr>
          </a:pPr>
          <a:endParaRPr lang="es-MX"/>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rgbClr val="595959"/>
                </a:solidFill>
                <a:latin typeface="Arial" panose="020B0604020202020204" pitchFamily="34" charset="0"/>
                <a:ea typeface="+mn-ea"/>
                <a:cs typeface="Arial" panose="020B0604020202020204" pitchFamily="34" charset="0"/>
              </a:defRPr>
            </a:pPr>
            <a:r>
              <a:rPr lang="es-MX" sz="900">
                <a:solidFill>
                  <a:srgbClr val="595959"/>
                </a:solidFill>
                <a:latin typeface="Arial" panose="020B0604020202020204" pitchFamily="34" charset="0"/>
                <a:cs typeface="Arial" panose="020B0604020202020204" pitchFamily="34" charset="0"/>
              </a:rPr>
              <a:t>Población de 3 años y más hablante de lengua indígena.</a:t>
            </a:r>
          </a:p>
        </c:rich>
      </c:tx>
      <c:layout>
        <c:manualLayout>
          <c:xMode val="edge"/>
          <c:yMode val="edge"/>
          <c:x val="0.14407574059058653"/>
          <c:y val="1.037923433941077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rgbClr val="595959"/>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4.3333335401256758E-2"/>
          <c:y val="0.39025921116184498"/>
          <c:w val="0.91333332919748644"/>
          <c:h val="0.4222918166683966"/>
        </c:manualLayout>
      </c:layout>
      <c:barChart>
        <c:barDir val="col"/>
        <c:grouping val="clustered"/>
        <c:varyColors val="0"/>
        <c:ser>
          <c:idx val="0"/>
          <c:order val="0"/>
          <c:spPr>
            <a:solidFill>
              <a:srgbClr val="D3C2B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'POBLACIÓN INDÍGENA'!$N$9:$N$12</c:f>
              <c:strCache>
                <c:ptCount val="4"/>
                <c:pt idx="0">
                  <c:v>2000</c:v>
                </c:pt>
                <c:pt idx="1">
                  <c:v>2010</c:v>
                </c:pt>
                <c:pt idx="2">
                  <c:v>2015</c:v>
                </c:pt>
                <c:pt idx="3">
                  <c:v>2020</c:v>
                </c:pt>
              </c:strCache>
            </c:strRef>
          </c:cat>
          <c:val>
            <c:numRef>
              <c:f>'POBLACIÓN INDÍGENA'!$O$9:$O$12</c:f>
              <c:numCache>
                <c:formatCode>#,##0</c:formatCode>
                <c:ptCount val="4"/>
                <c:pt idx="0">
                  <c:v>195</c:v>
                </c:pt>
                <c:pt idx="1">
                  <c:v>179</c:v>
                </c:pt>
                <c:pt idx="2">
                  <c:v>35</c:v>
                </c:pt>
                <c:pt idx="3">
                  <c:v>191</c:v>
                </c:pt>
              </c:numCache>
            </c:numRef>
          </c:val>
          <c:extLst>
            <c:ext xmlns:c16="http://schemas.microsoft.com/office/drawing/2014/chart" uri="{C3380CC4-5D6E-409C-BE32-E72D297353CC}">
              <c16:uniqueId val="{00000000-FF01-44F0-A25B-6D23BAE2DB6E}"/>
            </c:ext>
          </c:extLst>
        </c:ser>
        <c:dLbls>
          <c:showLegendKey val="0"/>
          <c:showVal val="0"/>
          <c:showCatName val="0"/>
          <c:showSerName val="0"/>
          <c:showPercent val="0"/>
          <c:showBubbleSize val="0"/>
        </c:dLbls>
        <c:gapWidth val="50"/>
        <c:overlap val="-27"/>
        <c:axId val="642137064"/>
        <c:axId val="642138048"/>
      </c:barChart>
      <c:catAx>
        <c:axId val="642137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crossAx val="642138048"/>
        <c:crosses val="autoZero"/>
        <c:auto val="1"/>
        <c:lblAlgn val="ctr"/>
        <c:lblOffset val="100"/>
        <c:noMultiLvlLbl val="0"/>
      </c:catAx>
      <c:valAx>
        <c:axId val="642138048"/>
        <c:scaling>
          <c:orientation val="minMax"/>
        </c:scaling>
        <c:delete val="1"/>
        <c:axPos val="l"/>
        <c:numFmt formatCode="#,##0" sourceLinked="1"/>
        <c:majorTickMark val="none"/>
        <c:minorTickMark val="none"/>
        <c:tickLblPos val="nextTo"/>
        <c:crossAx val="64213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solidFill>
            <a:sysClr val="windowText" lastClr="000000"/>
          </a:solidFill>
          <a:latin typeface="Gotham Book" panose="02000604040000020004" pitchFamily="50"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900">
                <a:latin typeface="Arial" panose="020B0604020202020204" pitchFamily="34" charset="0"/>
                <a:cs typeface="Arial" panose="020B0604020202020204" pitchFamily="34" charset="0"/>
              </a:rPr>
              <a:t>Porcentaje de población por tipo de localidad. 2010</a:t>
            </a:r>
          </a:p>
        </c:rich>
      </c:tx>
      <c:layout>
        <c:manualLayout>
          <c:xMode val="edge"/>
          <c:yMode val="edge"/>
          <c:x val="0.15387485114161514"/>
          <c:y val="1.554607421842724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view3D>
      <c:rotX val="30"/>
      <c:rotY val="245"/>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37749435830639E-2"/>
          <c:y val="0.32156693069145553"/>
          <c:w val="0.88353075245070034"/>
          <c:h val="0.5392091999463603"/>
        </c:manualLayout>
      </c:layout>
      <c:pie3DChart>
        <c:varyColors val="1"/>
        <c:ser>
          <c:idx val="0"/>
          <c:order val="0"/>
          <c:explosion val="5"/>
          <c:dPt>
            <c:idx val="0"/>
            <c:bubble3D val="0"/>
            <c:spPr>
              <a:solidFill>
                <a:srgbClr val="009885"/>
              </a:solidFill>
              <a:ln w="25400">
                <a:noFill/>
              </a:ln>
              <a:effectLst/>
              <a:sp3d/>
            </c:spPr>
            <c:extLst>
              <c:ext xmlns:c16="http://schemas.microsoft.com/office/drawing/2014/chart" uri="{C3380CC4-5D6E-409C-BE32-E72D297353CC}">
                <c16:uniqueId val="{00000001-7B2E-4A40-A943-2924DC33BFA3}"/>
              </c:ext>
            </c:extLst>
          </c:dPt>
          <c:dPt>
            <c:idx val="1"/>
            <c:bubble3D val="0"/>
            <c:spPr>
              <a:solidFill>
                <a:srgbClr val="D3C2B4"/>
              </a:solidFill>
              <a:ln w="25400">
                <a:noFill/>
              </a:ln>
              <a:effectLst/>
              <a:sp3d>
                <a:contourClr>
                  <a:srgbClr val="B09A5B"/>
                </a:contourClr>
              </a:sp3d>
            </c:spPr>
            <c:extLst>
              <c:ext xmlns:c16="http://schemas.microsoft.com/office/drawing/2014/chart" uri="{C3380CC4-5D6E-409C-BE32-E72D297353CC}">
                <c16:uniqueId val="{00000003-7B2E-4A40-A943-2924DC33BFA3}"/>
              </c:ext>
            </c:extLst>
          </c:dPt>
          <c:dLbls>
            <c:dLbl>
              <c:idx val="0"/>
              <c:layout>
                <c:manualLayout>
                  <c:x val="-0.25540308487476643"/>
                  <c:y val="6.57412353338652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2E-4A40-A943-2924DC33BFA3}"/>
                </c:ext>
              </c:extLst>
            </c:dLbl>
            <c:dLbl>
              <c:idx val="1"/>
              <c:layout>
                <c:manualLayout>
                  <c:x val="1.3482239498927476E-2"/>
                  <c:y val="-0.10894417239753168"/>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2E-4A40-A943-2924DC33BFA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'POBLACIÓN INDÍGENA'!$G$13:$G$14</c:f>
              <c:strCache>
                <c:ptCount val="2"/>
                <c:pt idx="0">
                  <c:v>Urbana</c:v>
                </c:pt>
                <c:pt idx="1">
                  <c:v>Rural</c:v>
                </c:pt>
              </c:strCache>
            </c:strRef>
          </c:cat>
          <c:val>
            <c:numRef>
              <c:f>'POBLACIÓN INDÍGENA'!$I$13:$I$14</c:f>
              <c:numCache>
                <c:formatCode>0.00%</c:formatCode>
                <c:ptCount val="2"/>
                <c:pt idx="0">
                  <c:v>0.10614525139664804</c:v>
                </c:pt>
                <c:pt idx="1">
                  <c:v>0.8938547486033519</c:v>
                </c:pt>
              </c:numCache>
            </c:numRef>
          </c:val>
          <c:extLst>
            <c:ext xmlns:c16="http://schemas.microsoft.com/office/drawing/2014/chart" uri="{C3380CC4-5D6E-409C-BE32-E72D297353CC}">
              <c16:uniqueId val="{00000004-7B2E-4A40-A943-2924DC33BFA3}"/>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5.604977628361258E-2"/>
          <c:y val="0.85762917471767652"/>
          <c:w val="0.85678046879977265"/>
          <c:h val="0.11127867684546897"/>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cap="none" spc="20" baseline="0">
                <a:solidFill>
                  <a:srgbClr val="595959"/>
                </a:solidFill>
                <a:latin typeface="Arial" panose="020B0604020202020204" pitchFamily="34" charset="0"/>
                <a:ea typeface="+mn-ea"/>
                <a:cs typeface="Arial" panose="020B0604020202020204" pitchFamily="34" charset="0"/>
              </a:defRPr>
            </a:pPr>
            <a:r>
              <a:rPr lang="es-MX" sz="1000">
                <a:solidFill>
                  <a:srgbClr val="595959"/>
                </a:solidFill>
                <a:latin typeface="Arial" panose="020B0604020202020204" pitchFamily="34" charset="0"/>
                <a:cs typeface="Arial" panose="020B0604020202020204" pitchFamily="34" charset="0"/>
              </a:rPr>
              <a:t>Estructura de la población hablante de lengua indígena (habitantes). 2020</a:t>
            </a:r>
          </a:p>
        </c:rich>
      </c:tx>
      <c:overlay val="0"/>
      <c:spPr>
        <a:noFill/>
        <a:ln>
          <a:noFill/>
        </a:ln>
        <a:effectLst/>
      </c:spPr>
      <c:txPr>
        <a:bodyPr rot="0" spcFirstLastPara="1" vertOverflow="ellipsis" vert="horz" wrap="square" anchor="ctr" anchorCtr="1"/>
        <a:lstStyle/>
        <a:p>
          <a:pPr>
            <a:defRPr sz="1000" b="0" i="0" u="none" strike="noStrike" kern="1200" cap="none" spc="20" baseline="0">
              <a:solidFill>
                <a:srgbClr val="595959"/>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0.21758761964853951"/>
          <c:y val="0.14914558762664787"/>
          <c:w val="0.72814303330832608"/>
          <c:h val="0.72354649767940493"/>
        </c:manualLayout>
      </c:layout>
      <c:barChart>
        <c:barDir val="bar"/>
        <c:grouping val="stacked"/>
        <c:varyColors val="0"/>
        <c:ser>
          <c:idx val="0"/>
          <c:order val="0"/>
          <c:tx>
            <c:strRef>
              <c:f>'POBLACIÓN INDÍGENA'!$R$8</c:f>
              <c:strCache>
                <c:ptCount val="1"/>
                <c:pt idx="0">
                  <c:v>Hombres</c:v>
                </c:pt>
              </c:strCache>
            </c:strRef>
          </c:tx>
          <c:spPr>
            <a:solidFill>
              <a:srgbClr val="D3C2B4"/>
            </a:solidFill>
            <a:ln w="9525" cap="flat" cmpd="sng" algn="ctr">
              <a:solidFill>
                <a:srgbClr val="D3C2B4"/>
              </a:solidFill>
              <a:round/>
            </a:ln>
            <a:effectLst/>
          </c:spPr>
          <c:invertIfNegative val="0"/>
          <c:dLbls>
            <c:numFmt formatCode="#,##0.00;[Black]#,##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'POBLACIÓN INDÍGENA'!$Q$9:$Q$22</c:f>
              <c:strCache>
                <c:ptCount val="14"/>
                <c:pt idx="0">
                  <c:v>03-04 Años</c:v>
                </c:pt>
                <c:pt idx="1">
                  <c:v>05-09 Años</c:v>
                </c:pt>
                <c:pt idx="2">
                  <c:v>10-14 Años</c:v>
                </c:pt>
                <c:pt idx="3">
                  <c:v>15-19 Años</c:v>
                </c:pt>
                <c:pt idx="4">
                  <c:v>20-24 Años</c:v>
                </c:pt>
                <c:pt idx="5">
                  <c:v>25-29 Años</c:v>
                </c:pt>
                <c:pt idx="6">
                  <c:v>30-34 Años</c:v>
                </c:pt>
                <c:pt idx="7">
                  <c:v>35-39 Años</c:v>
                </c:pt>
                <c:pt idx="8">
                  <c:v>40-44 Años</c:v>
                </c:pt>
                <c:pt idx="9">
                  <c:v>45-49 Años</c:v>
                </c:pt>
                <c:pt idx="10">
                  <c:v>50-54 Años</c:v>
                </c:pt>
                <c:pt idx="11">
                  <c:v>55-59 Años</c:v>
                </c:pt>
                <c:pt idx="12">
                  <c:v>60-64 Años</c:v>
                </c:pt>
                <c:pt idx="13">
                  <c:v>65 y más años</c:v>
                </c:pt>
              </c:strCache>
            </c:strRef>
          </c:cat>
          <c:val>
            <c:numRef>
              <c:f>'POBLACIÓN INDÍGENA'!$R$9:$R$22</c:f>
              <c:numCache>
                <c:formatCode>#,##0</c:formatCode>
                <c:ptCount val="14"/>
                <c:pt idx="0">
                  <c:v>0</c:v>
                </c:pt>
                <c:pt idx="1">
                  <c:v>-5</c:v>
                </c:pt>
                <c:pt idx="2">
                  <c:v>-7</c:v>
                </c:pt>
                <c:pt idx="3">
                  <c:v>-9</c:v>
                </c:pt>
                <c:pt idx="4">
                  <c:v>-9</c:v>
                </c:pt>
                <c:pt idx="5">
                  <c:v>-9</c:v>
                </c:pt>
                <c:pt idx="6">
                  <c:v>-17</c:v>
                </c:pt>
                <c:pt idx="7">
                  <c:v>-9</c:v>
                </c:pt>
                <c:pt idx="8">
                  <c:v>-10</c:v>
                </c:pt>
                <c:pt idx="9">
                  <c:v>-13</c:v>
                </c:pt>
                <c:pt idx="10">
                  <c:v>-10</c:v>
                </c:pt>
                <c:pt idx="11">
                  <c:v>-5</c:v>
                </c:pt>
                <c:pt idx="12">
                  <c:v>-5</c:v>
                </c:pt>
                <c:pt idx="13">
                  <c:v>-22</c:v>
                </c:pt>
              </c:numCache>
            </c:numRef>
          </c:val>
          <c:extLst>
            <c:ext xmlns:c16="http://schemas.microsoft.com/office/drawing/2014/chart" uri="{C3380CC4-5D6E-409C-BE32-E72D297353CC}">
              <c16:uniqueId val="{00000002-AB17-48ED-AF67-F5BFCAD9C371}"/>
            </c:ext>
          </c:extLst>
        </c:ser>
        <c:ser>
          <c:idx val="1"/>
          <c:order val="1"/>
          <c:tx>
            <c:strRef>
              <c:f>'POBLACIÓN INDÍGENA'!$S$8</c:f>
              <c:strCache>
                <c:ptCount val="1"/>
                <c:pt idx="0">
                  <c:v>Mujeres</c:v>
                </c:pt>
              </c:strCache>
            </c:strRef>
          </c:tx>
          <c:spPr>
            <a:solidFill>
              <a:srgbClr val="009885"/>
            </a:solidFill>
            <a:ln w="9525" cap="flat" cmpd="sng" algn="ctr">
              <a:solidFill>
                <a:srgbClr val="009885"/>
              </a:solidFill>
              <a:round/>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'POBLACIÓN INDÍGENA'!$Q$9:$Q$22</c:f>
              <c:strCache>
                <c:ptCount val="14"/>
                <c:pt idx="0">
                  <c:v>03-04 Años</c:v>
                </c:pt>
                <c:pt idx="1">
                  <c:v>05-09 Años</c:v>
                </c:pt>
                <c:pt idx="2">
                  <c:v>10-14 Años</c:v>
                </c:pt>
                <c:pt idx="3">
                  <c:v>15-19 Años</c:v>
                </c:pt>
                <c:pt idx="4">
                  <c:v>20-24 Años</c:v>
                </c:pt>
                <c:pt idx="5">
                  <c:v>25-29 Años</c:v>
                </c:pt>
                <c:pt idx="6">
                  <c:v>30-34 Años</c:v>
                </c:pt>
                <c:pt idx="7">
                  <c:v>35-39 Años</c:v>
                </c:pt>
                <c:pt idx="8">
                  <c:v>40-44 Años</c:v>
                </c:pt>
                <c:pt idx="9">
                  <c:v>45-49 Años</c:v>
                </c:pt>
                <c:pt idx="10">
                  <c:v>50-54 Años</c:v>
                </c:pt>
                <c:pt idx="11">
                  <c:v>55-59 Años</c:v>
                </c:pt>
                <c:pt idx="12">
                  <c:v>60-64 Años</c:v>
                </c:pt>
                <c:pt idx="13">
                  <c:v>65 y más años</c:v>
                </c:pt>
              </c:strCache>
            </c:strRef>
          </c:cat>
          <c:val>
            <c:numRef>
              <c:f>'POBLACIÓN INDÍGENA'!$S$9:$S$22</c:f>
              <c:numCache>
                <c:formatCode>#,##0</c:formatCode>
                <c:ptCount val="14"/>
                <c:pt idx="0">
                  <c:v>1</c:v>
                </c:pt>
                <c:pt idx="1">
                  <c:v>6</c:v>
                </c:pt>
                <c:pt idx="2">
                  <c:v>3</c:v>
                </c:pt>
                <c:pt idx="3">
                  <c:v>3</c:v>
                </c:pt>
                <c:pt idx="4">
                  <c:v>4</c:v>
                </c:pt>
                <c:pt idx="5">
                  <c:v>4</c:v>
                </c:pt>
                <c:pt idx="6">
                  <c:v>7</c:v>
                </c:pt>
                <c:pt idx="7">
                  <c:v>3</c:v>
                </c:pt>
                <c:pt idx="8">
                  <c:v>8</c:v>
                </c:pt>
                <c:pt idx="9">
                  <c:v>7</c:v>
                </c:pt>
                <c:pt idx="10">
                  <c:v>2</c:v>
                </c:pt>
                <c:pt idx="11">
                  <c:v>1</c:v>
                </c:pt>
                <c:pt idx="12">
                  <c:v>1</c:v>
                </c:pt>
                <c:pt idx="13">
                  <c:v>11</c:v>
                </c:pt>
              </c:numCache>
            </c:numRef>
          </c:val>
          <c:extLst>
            <c:ext xmlns:c16="http://schemas.microsoft.com/office/drawing/2014/chart" uri="{C3380CC4-5D6E-409C-BE32-E72D297353CC}">
              <c16:uniqueId val="{00000004-AB17-48ED-AF67-F5BFCAD9C371}"/>
            </c:ext>
          </c:extLst>
        </c:ser>
        <c:dLbls>
          <c:showLegendKey val="0"/>
          <c:showVal val="1"/>
          <c:showCatName val="0"/>
          <c:showSerName val="0"/>
          <c:showPercent val="0"/>
          <c:showBubbleSize val="0"/>
        </c:dLbls>
        <c:gapWidth val="10"/>
        <c:overlap val="100"/>
        <c:axId val="763012552"/>
        <c:axId val="763013536"/>
      </c:barChart>
      <c:catAx>
        <c:axId val="7630125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s-MX"/>
          </a:p>
        </c:txPr>
        <c:crossAx val="763013536"/>
        <c:crosses val="autoZero"/>
        <c:auto val="1"/>
        <c:lblAlgn val="ctr"/>
        <c:lblOffset val="100"/>
        <c:noMultiLvlLbl val="0"/>
      </c:catAx>
      <c:valAx>
        <c:axId val="763013536"/>
        <c:scaling>
          <c:orientation val="minMax"/>
        </c:scaling>
        <c:delete val="1"/>
        <c:axPos val="b"/>
        <c:numFmt formatCode="#,##0;[Black]#,##0" sourceLinked="0"/>
        <c:majorTickMark val="none"/>
        <c:minorTickMark val="none"/>
        <c:tickLblPos val="nextTo"/>
        <c:crossAx val="763012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latin typeface="Gotham Book" panose="02000604040000020004" pitchFamily="50"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1100">
                <a:latin typeface="Arial" panose="020B0604020202020204" pitchFamily="34" charset="0"/>
                <a:cs typeface="Arial" panose="020B0604020202020204" pitchFamily="34" charset="0"/>
              </a:rPr>
              <a:t>Porcentaje de población de 3 años y más hablante de lengua indígena</a:t>
            </a:r>
            <a:r>
              <a:rPr lang="es-MX" sz="1100" baseline="0">
                <a:latin typeface="Arial" panose="020B0604020202020204" pitchFamily="34" charset="0"/>
                <a:cs typeface="Arial" panose="020B0604020202020204" pitchFamily="34" charset="0"/>
              </a:rPr>
              <a:t> por condición de habla español. 2020</a:t>
            </a:r>
            <a:endParaRPr lang="es-MX" sz="110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89587068943115E-2"/>
          <c:y val="0.2488497834991909"/>
          <c:w val="0.9621290507003456"/>
          <c:h val="0.57008287939402558"/>
        </c:manualLayout>
      </c:layout>
      <c:pie3DChart>
        <c:varyColors val="1"/>
        <c:ser>
          <c:idx val="0"/>
          <c:order val="0"/>
          <c:dPt>
            <c:idx val="0"/>
            <c:bubble3D val="0"/>
            <c:spPr>
              <a:solidFill>
                <a:srgbClr val="D3C2B4"/>
              </a:solidFill>
              <a:ln w="25400">
                <a:solidFill>
                  <a:schemeClr val="lt1"/>
                </a:solidFill>
              </a:ln>
              <a:effectLst/>
              <a:sp3d contourW="25400">
                <a:contourClr>
                  <a:schemeClr val="lt1"/>
                </a:contourClr>
              </a:sp3d>
            </c:spPr>
            <c:extLst>
              <c:ext xmlns:c16="http://schemas.microsoft.com/office/drawing/2014/chart" uri="{C3380CC4-5D6E-409C-BE32-E72D297353CC}">
                <c16:uniqueId val="{00000003-603D-4CE8-A08B-EDBAA2626787}"/>
              </c:ext>
            </c:extLst>
          </c:dPt>
          <c:dPt>
            <c:idx val="1"/>
            <c:bubble3D val="0"/>
            <c:spPr>
              <a:solidFill>
                <a:srgbClr val="009885"/>
              </a:solidFill>
              <a:ln w="25400">
                <a:solidFill>
                  <a:schemeClr val="lt1"/>
                </a:solidFill>
              </a:ln>
              <a:effectLst/>
              <a:sp3d contourW="25400">
                <a:contourClr>
                  <a:schemeClr val="lt1"/>
                </a:contourClr>
              </a:sp3d>
            </c:spPr>
            <c:extLst>
              <c:ext xmlns:c16="http://schemas.microsoft.com/office/drawing/2014/chart" uri="{C3380CC4-5D6E-409C-BE32-E72D297353CC}">
                <c16:uniqueId val="{00000002-603D-4CE8-A08B-EDBAA2626787}"/>
              </c:ext>
            </c:extLst>
          </c:dPt>
          <c:dLbls>
            <c:dLbl>
              <c:idx val="0"/>
              <c:layout>
                <c:manualLayout>
                  <c:x val="-3.5706140692809439E-2"/>
                  <c:y val="-0.33820385550813153"/>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595959"/>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D-4CE8-A08B-EDBAA2626787}"/>
                </c:ext>
              </c:extLst>
            </c:dLbl>
            <c:dLbl>
              <c:idx val="1"/>
              <c:layout>
                <c:manualLayout>
                  <c:x val="-4.2819053558899207E-2"/>
                  <c:y val="8.0815466306054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D-4CE8-A08B-EDBAA262678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('POBLACIÓN INDÍGENA'!$N$15,'POBLACIÓN INDÍGENA'!$N$18)</c:f>
              <c:strCache>
                <c:ptCount val="2"/>
                <c:pt idx="0">
                  <c:v>Habla español</c:v>
                </c:pt>
                <c:pt idx="1">
                  <c:v>No habla español</c:v>
                </c:pt>
              </c:strCache>
            </c:strRef>
          </c:cat>
          <c:val>
            <c:numRef>
              <c:f>('POBLACIÓN INDÍGENA'!$P$15,'POBLACIÓN INDÍGENA'!$P$18)</c:f>
              <c:numCache>
                <c:formatCode>0.00%</c:formatCode>
                <c:ptCount val="2"/>
                <c:pt idx="0">
                  <c:v>0.72251308900523559</c:v>
                </c:pt>
                <c:pt idx="1">
                  <c:v>2.0942408376963352E-2</c:v>
                </c:pt>
              </c:numCache>
            </c:numRef>
          </c:val>
          <c:extLst>
            <c:ext xmlns:c16="http://schemas.microsoft.com/office/drawing/2014/chart" uri="{C3380CC4-5D6E-409C-BE32-E72D297353CC}">
              <c16:uniqueId val="{00000000-603D-4CE8-A08B-EDBAA262678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MX" sz="1000">
                <a:latin typeface="Arial" panose="020B0604020202020204" pitchFamily="34" charset="0"/>
                <a:cs typeface="Arial" panose="020B0604020202020204" pitchFamily="34" charset="0"/>
              </a:rPr>
              <a:t>Porcentaje</a:t>
            </a:r>
            <a:r>
              <a:rPr lang="es-MX" sz="1000" baseline="0">
                <a:latin typeface="Arial" panose="020B0604020202020204" pitchFamily="34" charset="0"/>
                <a:cs typeface="Arial" panose="020B0604020202020204" pitchFamily="34" charset="0"/>
              </a:rPr>
              <a:t> de población femenina de 3 años y más hablante de lengua indígena por condición de habla español. 2020</a:t>
            </a:r>
            <a:endParaRPr lang="es-MX" sz="100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3002539415751687E-2"/>
          <c:y val="0.26981299212598425"/>
          <c:w val="0.97399492116849673"/>
          <c:h val="0.582665135608049"/>
        </c:manualLayout>
      </c:layout>
      <c:pie3DChart>
        <c:varyColors val="1"/>
        <c:ser>
          <c:idx val="0"/>
          <c:order val="0"/>
          <c:dPt>
            <c:idx val="0"/>
            <c:bubble3D val="0"/>
            <c:spPr>
              <a:solidFill>
                <a:srgbClr val="D3C2B4"/>
              </a:solidFill>
              <a:ln w="25400">
                <a:solidFill>
                  <a:schemeClr val="lt1"/>
                </a:solidFill>
              </a:ln>
              <a:effectLst/>
              <a:sp3d contourW="25400">
                <a:contourClr>
                  <a:schemeClr val="lt1"/>
                </a:contourClr>
              </a:sp3d>
            </c:spPr>
            <c:extLst>
              <c:ext xmlns:c16="http://schemas.microsoft.com/office/drawing/2014/chart" uri="{C3380CC4-5D6E-409C-BE32-E72D297353CC}">
                <c16:uniqueId val="{00000001-7F9A-443B-BEB8-AD6A79A42494}"/>
              </c:ext>
            </c:extLst>
          </c:dPt>
          <c:dPt>
            <c:idx val="1"/>
            <c:bubble3D val="0"/>
            <c:spPr>
              <a:solidFill>
                <a:srgbClr val="009885"/>
              </a:solidFill>
              <a:ln w="25400">
                <a:solidFill>
                  <a:schemeClr val="lt1"/>
                </a:solidFill>
              </a:ln>
              <a:effectLst/>
              <a:sp3d contourW="25400">
                <a:contourClr>
                  <a:schemeClr val="lt1"/>
                </a:contourClr>
              </a:sp3d>
            </c:spPr>
            <c:extLst>
              <c:ext xmlns:c16="http://schemas.microsoft.com/office/drawing/2014/chart" uri="{C3380CC4-5D6E-409C-BE32-E72D297353CC}">
                <c16:uniqueId val="{00000003-7F9A-443B-BEB8-AD6A79A42494}"/>
              </c:ext>
            </c:extLst>
          </c:dPt>
          <c:dLbls>
            <c:dLbl>
              <c:idx val="0"/>
              <c:layout>
                <c:manualLayout>
                  <c:x val="-0.21807856964515165"/>
                  <c:y val="1.0318241469816273E-2"/>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A-443B-BEB8-AD6A79A42494}"/>
                </c:ext>
              </c:extLst>
            </c:dLbl>
            <c:dLbl>
              <c:idx val="1"/>
              <c:layout>
                <c:manualLayout>
                  <c:x val="0.23043096991066372"/>
                  <c:y val="-9.97586759988334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9A-443B-BEB8-AD6A79A4249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('POBLACIÓN INDÍGENA'!$N$17,'POBLACIÓN INDÍGENA'!$N$20)</c:f>
              <c:strCache>
                <c:ptCount val="2"/>
                <c:pt idx="0">
                  <c:v>Mujeres que hablan español</c:v>
                </c:pt>
                <c:pt idx="1">
                  <c:v>Mujeres que no hablan español</c:v>
                </c:pt>
              </c:strCache>
            </c:strRef>
          </c:cat>
          <c:val>
            <c:numRef>
              <c:f>('POBLACIÓN INDÍGENA'!$P$17,'POBLACIÓN INDÍGENA'!$P$20)</c:f>
              <c:numCache>
                <c:formatCode>0.00%</c:formatCode>
                <c:ptCount val="2"/>
                <c:pt idx="0">
                  <c:v>0.42753623188405798</c:v>
                </c:pt>
                <c:pt idx="1">
                  <c:v>0.25</c:v>
                </c:pt>
              </c:numCache>
            </c:numRef>
          </c:val>
          <c:extLst>
            <c:ext xmlns:c16="http://schemas.microsoft.com/office/drawing/2014/chart" uri="{C3380CC4-5D6E-409C-BE32-E72D297353CC}">
              <c16:uniqueId val="{00000000-BC26-44B9-A4CE-E76AFBE0BE0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0.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png"/><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image" Target="../media/image1.png"/><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5.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6.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7.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199934</xdr:colOff>
      <xdr:row>1</xdr:row>
      <xdr:rowOff>57920</xdr:rowOff>
    </xdr:from>
    <xdr:to>
      <xdr:col>10</xdr:col>
      <xdr:colOff>634713</xdr:colOff>
      <xdr:row>3</xdr:row>
      <xdr:rowOff>36410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9934" y="248420"/>
          <a:ext cx="1196779" cy="35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0</xdr:row>
      <xdr:rowOff>104775</xdr:rowOff>
    </xdr:from>
    <xdr:to>
      <xdr:col>3</xdr:col>
      <xdr:colOff>342675</xdr:colOff>
      <xdr:row>4</xdr:row>
      <xdr:rowOff>62775</xdr:rowOff>
    </xdr:to>
    <xdr:pic>
      <xdr:nvPicPr>
        <xdr:cNvPr id="7" name="Imagen 6">
          <a:extLst>
            <a:ext uri="{FF2B5EF4-FFF2-40B4-BE49-F238E27FC236}">
              <a16:creationId xmlns:a16="http://schemas.microsoft.com/office/drawing/2014/main" id="{CD4A7299-3969-6D7C-950B-320FFA900368}"/>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0675" y="104775"/>
          <a:ext cx="1800000" cy="7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518537</xdr:colOff>
      <xdr:row>1</xdr:row>
      <xdr:rowOff>4075</xdr:rowOff>
    </xdr:from>
    <xdr:to>
      <xdr:col>9</xdr:col>
      <xdr:colOff>675020</xdr:colOff>
      <xdr:row>2</xdr:row>
      <xdr:rowOff>104043</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3320" y="252553"/>
          <a:ext cx="1191810" cy="348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8283</xdr:colOff>
      <xdr:row>6</xdr:row>
      <xdr:rowOff>190500</xdr:rowOff>
    </xdr:from>
    <xdr:to>
      <xdr:col>6</xdr:col>
      <xdr:colOff>134179</xdr:colOff>
      <xdr:row>12</xdr:row>
      <xdr:rowOff>289892</xdr:rowOff>
    </xdr:to>
    <xdr:graphicFrame macro="">
      <xdr:nvGraphicFramePr>
        <xdr:cNvPr id="7" name="Gráfico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85725</xdr:colOff>
      <xdr:row>0</xdr:row>
      <xdr:rowOff>114300</xdr:rowOff>
    </xdr:from>
    <xdr:to>
      <xdr:col>1</xdr:col>
      <xdr:colOff>1417725</xdr:colOff>
      <xdr:row>2</xdr:row>
      <xdr:rowOff>195000</xdr:rowOff>
    </xdr:to>
    <xdr:pic>
      <xdr:nvPicPr>
        <xdr:cNvPr id="2" name="Imagen 1">
          <a:extLst>
            <a:ext uri="{FF2B5EF4-FFF2-40B4-BE49-F238E27FC236}">
              <a16:creationId xmlns:a16="http://schemas.microsoft.com/office/drawing/2014/main" id="{6D92575D-4871-4D54-AF9E-865818BFCC17}"/>
            </a:ext>
          </a:extLst>
        </xdr:cNvPr>
        <xdr:cNvPicPr preferRelativeResize="0">
          <a:picLocks/>
        </xdr:cNvPicPr>
      </xdr:nvPicPr>
      <xdr:blipFill>
        <a:blip xmlns:r="http://schemas.openxmlformats.org/officeDocument/2006/relationships" r:embed="rId3"/>
        <a:stretch>
          <a:fillRect/>
        </a:stretch>
      </xdr:blipFill>
      <xdr:spPr>
        <a:xfrm>
          <a:off x="504825" y="114300"/>
          <a:ext cx="1332000" cy="576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603470</xdr:colOff>
      <xdr:row>1</xdr:row>
      <xdr:rowOff>10392</xdr:rowOff>
    </xdr:from>
    <xdr:to>
      <xdr:col>10</xdr:col>
      <xdr:colOff>510775</xdr:colOff>
      <xdr:row>2</xdr:row>
      <xdr:rowOff>116678</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0504" y="252553"/>
          <a:ext cx="1191810" cy="348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24847</xdr:colOff>
      <xdr:row>15</xdr:row>
      <xdr:rowOff>8282</xdr:rowOff>
    </xdr:from>
    <xdr:to>
      <xdr:col>11</xdr:col>
      <xdr:colOff>428625</xdr:colOff>
      <xdr:row>26</xdr:row>
      <xdr:rowOff>0</xdr:rowOff>
    </xdr:to>
    <xdr:graphicFrame macro="">
      <xdr:nvGraphicFramePr>
        <xdr:cNvPr id="6" name="Gráfico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49697</xdr:colOff>
      <xdr:row>7</xdr:row>
      <xdr:rowOff>8281</xdr:rowOff>
    </xdr:from>
    <xdr:to>
      <xdr:col>11</xdr:col>
      <xdr:colOff>438150</xdr:colOff>
      <xdr:row>14</xdr:row>
      <xdr:rowOff>207066</xdr:rowOff>
    </xdr:to>
    <xdr:graphicFrame macro="">
      <xdr:nvGraphicFramePr>
        <xdr:cNvPr id="7" name="Gráfico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104775</xdr:colOff>
      <xdr:row>0</xdr:row>
      <xdr:rowOff>57150</xdr:rowOff>
    </xdr:from>
    <xdr:to>
      <xdr:col>2</xdr:col>
      <xdr:colOff>160425</xdr:colOff>
      <xdr:row>2</xdr:row>
      <xdr:rowOff>156900</xdr:rowOff>
    </xdr:to>
    <xdr:pic>
      <xdr:nvPicPr>
        <xdr:cNvPr id="2" name="Imagen 1">
          <a:extLst>
            <a:ext uri="{FF2B5EF4-FFF2-40B4-BE49-F238E27FC236}">
              <a16:creationId xmlns:a16="http://schemas.microsoft.com/office/drawing/2014/main" id="{D4003D5F-38CF-49B1-8012-9F0949F1F52F}"/>
            </a:ext>
          </a:extLst>
        </xdr:cNvPr>
        <xdr:cNvPicPr preferRelativeResize="0">
          <a:picLocks/>
        </xdr:cNvPicPr>
      </xdr:nvPicPr>
      <xdr:blipFill>
        <a:blip xmlns:r="http://schemas.openxmlformats.org/officeDocument/2006/relationships" r:embed="rId4"/>
        <a:stretch>
          <a:fillRect/>
        </a:stretch>
      </xdr:blipFill>
      <xdr:spPr>
        <a:xfrm>
          <a:off x="476250" y="57150"/>
          <a:ext cx="1332000" cy="576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657359</xdr:colOff>
      <xdr:row>1</xdr:row>
      <xdr:rowOff>11074</xdr:rowOff>
    </xdr:from>
    <xdr:to>
      <xdr:col>10</xdr:col>
      <xdr:colOff>319803</xdr:colOff>
      <xdr:row>2</xdr:row>
      <xdr:rowOff>118042</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88239" y="252553"/>
          <a:ext cx="1191810" cy="348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39414</xdr:colOff>
      <xdr:row>7</xdr:row>
      <xdr:rowOff>13138</xdr:rowOff>
    </xdr:from>
    <xdr:to>
      <xdr:col>11</xdr:col>
      <xdr:colOff>6569</xdr:colOff>
      <xdr:row>20</xdr:row>
      <xdr:rowOff>59121</xdr:rowOff>
    </xdr:to>
    <xdr:graphicFrame macro="">
      <xdr:nvGraphicFramePr>
        <xdr:cNvPr id="6" name="Gráfico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39414</xdr:colOff>
      <xdr:row>21</xdr:row>
      <xdr:rowOff>6570</xdr:rowOff>
    </xdr:from>
    <xdr:to>
      <xdr:col>11</xdr:col>
      <xdr:colOff>6569</xdr:colOff>
      <xdr:row>29</xdr:row>
      <xdr:rowOff>19707</xdr:rowOff>
    </xdr:to>
    <xdr:graphicFrame macro="">
      <xdr:nvGraphicFramePr>
        <xdr:cNvPr id="7" name="Gráfico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161925</xdr:colOff>
      <xdr:row>0</xdr:row>
      <xdr:rowOff>76200</xdr:rowOff>
    </xdr:from>
    <xdr:to>
      <xdr:col>2</xdr:col>
      <xdr:colOff>341400</xdr:colOff>
      <xdr:row>2</xdr:row>
      <xdr:rowOff>156900</xdr:rowOff>
    </xdr:to>
    <xdr:pic>
      <xdr:nvPicPr>
        <xdr:cNvPr id="2" name="Imagen 1">
          <a:extLst>
            <a:ext uri="{FF2B5EF4-FFF2-40B4-BE49-F238E27FC236}">
              <a16:creationId xmlns:a16="http://schemas.microsoft.com/office/drawing/2014/main" id="{AF404618-225C-4D9E-BEFC-D89A9DD4868C}"/>
            </a:ext>
          </a:extLst>
        </xdr:cNvPr>
        <xdr:cNvPicPr preferRelativeResize="0">
          <a:picLocks/>
        </xdr:cNvPicPr>
      </xdr:nvPicPr>
      <xdr:blipFill>
        <a:blip xmlns:r="http://schemas.openxmlformats.org/officeDocument/2006/relationships" r:embed="rId4"/>
        <a:stretch>
          <a:fillRect/>
        </a:stretch>
      </xdr:blipFill>
      <xdr:spPr>
        <a:xfrm>
          <a:off x="552450" y="76200"/>
          <a:ext cx="1332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638175</xdr:colOff>
      <xdr:row>10</xdr:row>
      <xdr:rowOff>71413</xdr:rowOff>
    </xdr:from>
    <xdr:to>
      <xdr:col>12</xdr:col>
      <xdr:colOff>590550</xdr:colOff>
      <xdr:row>14</xdr:row>
      <xdr:rowOff>216492</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557045</xdr:colOff>
      <xdr:row>0</xdr:row>
      <xdr:rowOff>172721</xdr:rowOff>
    </xdr:from>
    <xdr:to>
      <xdr:col>12</xdr:col>
      <xdr:colOff>216986</xdr:colOff>
      <xdr:row>2</xdr:row>
      <xdr:rowOff>68385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24808" y="172721"/>
          <a:ext cx="1187450" cy="360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19</xdr:row>
      <xdr:rowOff>28575</xdr:rowOff>
    </xdr:from>
    <xdr:to>
      <xdr:col>4</xdr:col>
      <xdr:colOff>561975</xdr:colOff>
      <xdr:row>23</xdr:row>
      <xdr:rowOff>202229</xdr:rowOff>
    </xdr:to>
    <xdr:graphicFrame macro="">
      <xdr:nvGraphicFramePr>
        <xdr:cNvPr id="10" name="Gráfico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57150</xdr:colOff>
      <xdr:row>6</xdr:row>
      <xdr:rowOff>228600</xdr:rowOff>
    </xdr:from>
    <xdr:to>
      <xdr:col>9</xdr:col>
      <xdr:colOff>619125</xdr:colOff>
      <xdr:row>14</xdr:row>
      <xdr:rowOff>219075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47624</xdr:colOff>
      <xdr:row>15</xdr:row>
      <xdr:rowOff>28574</xdr:rowOff>
    </xdr:from>
    <xdr:to>
      <xdr:col>12</xdr:col>
      <xdr:colOff>590549</xdr:colOff>
      <xdr:row>29</xdr:row>
      <xdr:rowOff>352424</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89039</xdr:colOff>
      <xdr:row>0</xdr:row>
      <xdr:rowOff>93593</xdr:rowOff>
    </xdr:from>
    <xdr:to>
      <xdr:col>2</xdr:col>
      <xdr:colOff>493387</xdr:colOff>
      <xdr:row>2</xdr:row>
      <xdr:rowOff>205767</xdr:rowOff>
    </xdr:to>
    <xdr:pic>
      <xdr:nvPicPr>
        <xdr:cNvPr id="2" name="Imagen 1">
          <a:extLst>
            <a:ext uri="{FF2B5EF4-FFF2-40B4-BE49-F238E27FC236}">
              <a16:creationId xmlns:a16="http://schemas.microsoft.com/office/drawing/2014/main" id="{DF2F635E-5620-0F6D-7505-E2F86E125980}"/>
            </a:ext>
          </a:extLst>
        </xdr:cNvPr>
        <xdr:cNvPicPr preferRelativeResize="0">
          <a:picLocks/>
        </xdr:cNvPicPr>
      </xdr:nvPicPr>
      <xdr:blipFill>
        <a:blip xmlns:r="http://schemas.openxmlformats.org/officeDocument/2006/relationships" r:embed="rId6"/>
        <a:stretch>
          <a:fillRect/>
        </a:stretch>
      </xdr:blipFill>
      <xdr:spPr>
        <a:xfrm>
          <a:off x="851039" y="93593"/>
          <a:ext cx="1332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85036</xdr:colOff>
      <xdr:row>0</xdr:row>
      <xdr:rowOff>162695</xdr:rowOff>
    </xdr:from>
    <xdr:to>
      <xdr:col>11</xdr:col>
      <xdr:colOff>539427</xdr:colOff>
      <xdr:row>2</xdr:row>
      <xdr:rowOff>19529</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3988" y="162695"/>
          <a:ext cx="1191810" cy="348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73270</xdr:colOff>
      <xdr:row>6</xdr:row>
      <xdr:rowOff>241788</xdr:rowOff>
    </xdr:from>
    <xdr:to>
      <xdr:col>8</xdr:col>
      <xdr:colOff>666750</xdr:colOff>
      <xdr:row>9</xdr:row>
      <xdr:rowOff>329712</xdr:rowOff>
    </xdr:to>
    <xdr:graphicFrame macro="">
      <xdr:nvGraphicFramePr>
        <xdr:cNvPr id="10" name="Gráfico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43963</xdr:colOff>
      <xdr:row>10</xdr:row>
      <xdr:rowOff>95250</xdr:rowOff>
    </xdr:from>
    <xdr:to>
      <xdr:col>11</xdr:col>
      <xdr:colOff>731960</xdr:colOff>
      <xdr:row>13</xdr:row>
      <xdr:rowOff>351693</xdr:rowOff>
    </xdr:to>
    <xdr:graphicFrame macro="">
      <xdr:nvGraphicFramePr>
        <xdr:cNvPr id="13" name="Gráfico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49695</xdr:colOff>
      <xdr:row>10</xdr:row>
      <xdr:rowOff>20388</xdr:rowOff>
    </xdr:from>
    <xdr:to>
      <xdr:col>5</xdr:col>
      <xdr:colOff>389283</xdr:colOff>
      <xdr:row>22</xdr:row>
      <xdr:rowOff>252715</xdr:rowOff>
    </xdr:to>
    <xdr:graphicFrame macro="">
      <xdr:nvGraphicFramePr>
        <xdr:cNvPr id="14" name="Gráfico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409574</xdr:colOff>
      <xdr:row>14</xdr:row>
      <xdr:rowOff>42861</xdr:rowOff>
    </xdr:from>
    <xdr:to>
      <xdr:col>11</xdr:col>
      <xdr:colOff>733424</xdr:colOff>
      <xdr:row>22</xdr:row>
      <xdr:rowOff>266699</xdr:rowOff>
    </xdr:to>
    <xdr:graphicFrame macro="">
      <xdr:nvGraphicFramePr>
        <xdr:cNvPr id="3" name="Gráfico 2">
          <a:extLst>
            <a:ext uri="{FF2B5EF4-FFF2-40B4-BE49-F238E27FC236}">
              <a16:creationId xmlns:a16="http://schemas.microsoft.com/office/drawing/2014/main" id="{CD3056BB-F62B-4468-A64E-9B617231B5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714375</xdr:colOff>
      <xdr:row>22</xdr:row>
      <xdr:rowOff>309562</xdr:rowOff>
    </xdr:from>
    <xdr:to>
      <xdr:col>12</xdr:col>
      <xdr:colOff>0</xdr:colOff>
      <xdr:row>38</xdr:row>
      <xdr:rowOff>128587</xdr:rowOff>
    </xdr:to>
    <xdr:graphicFrame macro="">
      <xdr:nvGraphicFramePr>
        <xdr:cNvPr id="4" name="Gráfico 3">
          <a:extLst>
            <a:ext uri="{FF2B5EF4-FFF2-40B4-BE49-F238E27FC236}">
              <a16:creationId xmlns:a16="http://schemas.microsoft.com/office/drawing/2014/main" id="{AB43A618-64D9-45C2-BB2C-FD474688DB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47625</xdr:colOff>
      <xdr:row>22</xdr:row>
      <xdr:rowOff>319087</xdr:rowOff>
    </xdr:from>
    <xdr:to>
      <xdr:col>6</xdr:col>
      <xdr:colOff>666750</xdr:colOff>
      <xdr:row>38</xdr:row>
      <xdr:rowOff>138112</xdr:rowOff>
    </xdr:to>
    <xdr:graphicFrame macro="">
      <xdr:nvGraphicFramePr>
        <xdr:cNvPr id="5" name="Gráfico 4">
          <a:extLst>
            <a:ext uri="{FF2B5EF4-FFF2-40B4-BE49-F238E27FC236}">
              <a16:creationId xmlns:a16="http://schemas.microsoft.com/office/drawing/2014/main" id="{80C07B1C-035A-4E3D-89D8-357F4C1490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85725</xdr:colOff>
      <xdr:row>0</xdr:row>
      <xdr:rowOff>85725</xdr:rowOff>
    </xdr:from>
    <xdr:to>
      <xdr:col>2</xdr:col>
      <xdr:colOff>674775</xdr:colOff>
      <xdr:row>2</xdr:row>
      <xdr:rowOff>185475</xdr:rowOff>
    </xdr:to>
    <xdr:pic>
      <xdr:nvPicPr>
        <xdr:cNvPr id="2" name="Imagen 1">
          <a:extLst>
            <a:ext uri="{FF2B5EF4-FFF2-40B4-BE49-F238E27FC236}">
              <a16:creationId xmlns:a16="http://schemas.microsoft.com/office/drawing/2014/main" id="{D90EB128-3C30-4C5F-9A19-C6EB4B6F556F}"/>
            </a:ext>
          </a:extLst>
        </xdr:cNvPr>
        <xdr:cNvPicPr preferRelativeResize="0">
          <a:picLocks/>
        </xdr:cNvPicPr>
      </xdr:nvPicPr>
      <xdr:blipFill>
        <a:blip xmlns:r="http://schemas.openxmlformats.org/officeDocument/2006/relationships" r:embed="rId8"/>
        <a:stretch>
          <a:fillRect/>
        </a:stretch>
      </xdr:blipFill>
      <xdr:spPr>
        <a:xfrm>
          <a:off x="495300" y="85725"/>
          <a:ext cx="1332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594892</xdr:colOff>
      <xdr:row>0</xdr:row>
      <xdr:rowOff>162695</xdr:rowOff>
    </xdr:from>
    <xdr:to>
      <xdr:col>8</xdr:col>
      <xdr:colOff>819319</xdr:colOff>
      <xdr:row>2</xdr:row>
      <xdr:rowOff>34892</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970" y="162695"/>
          <a:ext cx="1191810" cy="348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24847</xdr:colOff>
      <xdr:row>11</xdr:row>
      <xdr:rowOff>104775</xdr:rowOff>
    </xdr:from>
    <xdr:to>
      <xdr:col>3</xdr:col>
      <xdr:colOff>198783</xdr:colOff>
      <xdr:row>17</xdr:row>
      <xdr:rowOff>171450</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247650</xdr:colOff>
      <xdr:row>11</xdr:row>
      <xdr:rowOff>114300</xdr:rowOff>
    </xdr:from>
    <xdr:to>
      <xdr:col>5</xdr:col>
      <xdr:colOff>1689652</xdr:colOff>
      <xdr:row>25</xdr:row>
      <xdr:rowOff>0</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114300</xdr:colOff>
      <xdr:row>0</xdr:row>
      <xdr:rowOff>66675</xdr:rowOff>
    </xdr:from>
    <xdr:to>
      <xdr:col>2</xdr:col>
      <xdr:colOff>93750</xdr:colOff>
      <xdr:row>2</xdr:row>
      <xdr:rowOff>166425</xdr:rowOff>
    </xdr:to>
    <xdr:pic>
      <xdr:nvPicPr>
        <xdr:cNvPr id="2" name="Imagen 1">
          <a:extLst>
            <a:ext uri="{FF2B5EF4-FFF2-40B4-BE49-F238E27FC236}">
              <a16:creationId xmlns:a16="http://schemas.microsoft.com/office/drawing/2014/main" id="{5754CC8C-4B35-47F9-B4AA-AAAE795D6158}"/>
            </a:ext>
          </a:extLst>
        </xdr:cNvPr>
        <xdr:cNvPicPr preferRelativeResize="0">
          <a:picLocks/>
        </xdr:cNvPicPr>
      </xdr:nvPicPr>
      <xdr:blipFill>
        <a:blip xmlns:r="http://schemas.openxmlformats.org/officeDocument/2006/relationships" r:embed="rId4"/>
        <a:stretch>
          <a:fillRect/>
        </a:stretch>
      </xdr:blipFill>
      <xdr:spPr>
        <a:xfrm>
          <a:off x="504825" y="66675"/>
          <a:ext cx="1332000" cy="57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1277256</xdr:colOff>
      <xdr:row>1</xdr:row>
      <xdr:rowOff>18921</xdr:rowOff>
    </xdr:from>
    <xdr:to>
      <xdr:col>7</xdr:col>
      <xdr:colOff>600008</xdr:colOff>
      <xdr:row>2</xdr:row>
      <xdr:rowOff>133736</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4567" y="162695"/>
          <a:ext cx="1191810" cy="348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38101</xdr:colOff>
      <xdr:row>6</xdr:row>
      <xdr:rowOff>209551</xdr:rowOff>
    </xdr:from>
    <xdr:to>
      <xdr:col>11</xdr:col>
      <xdr:colOff>723900</xdr:colOff>
      <xdr:row>34</xdr:row>
      <xdr:rowOff>85725</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19</xdr:row>
      <xdr:rowOff>38099</xdr:rowOff>
    </xdr:from>
    <xdr:to>
      <xdr:col>5</xdr:col>
      <xdr:colOff>962024</xdr:colOff>
      <xdr:row>49</xdr:row>
      <xdr:rowOff>85725</xdr:rowOff>
    </xdr:to>
    <xdr:graphicFrame macro="">
      <xdr:nvGraphicFramePr>
        <xdr:cNvPr id="8" name="Gráfico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67235</xdr:colOff>
      <xdr:row>0</xdr:row>
      <xdr:rowOff>78442</xdr:rowOff>
    </xdr:from>
    <xdr:to>
      <xdr:col>1</xdr:col>
      <xdr:colOff>1399235</xdr:colOff>
      <xdr:row>2</xdr:row>
      <xdr:rowOff>183795</xdr:rowOff>
    </xdr:to>
    <xdr:pic>
      <xdr:nvPicPr>
        <xdr:cNvPr id="2" name="Imagen 1">
          <a:extLst>
            <a:ext uri="{FF2B5EF4-FFF2-40B4-BE49-F238E27FC236}">
              <a16:creationId xmlns:a16="http://schemas.microsoft.com/office/drawing/2014/main" id="{18CAA355-F96B-47DC-B77F-0BA1373EB1F3}"/>
            </a:ext>
          </a:extLst>
        </xdr:cNvPr>
        <xdr:cNvPicPr preferRelativeResize="0">
          <a:picLocks/>
        </xdr:cNvPicPr>
      </xdr:nvPicPr>
      <xdr:blipFill>
        <a:blip xmlns:r="http://schemas.openxmlformats.org/officeDocument/2006/relationships" r:embed="rId4"/>
        <a:stretch>
          <a:fillRect/>
        </a:stretch>
      </xdr:blipFill>
      <xdr:spPr>
        <a:xfrm>
          <a:off x="470647" y="78442"/>
          <a:ext cx="1332000" cy="57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2840794</xdr:colOff>
      <xdr:row>1</xdr:row>
      <xdr:rowOff>18921</xdr:rowOff>
    </xdr:from>
    <xdr:to>
      <xdr:col>7</xdr:col>
      <xdr:colOff>330434</xdr:colOff>
      <xdr:row>2</xdr:row>
      <xdr:rowOff>133736</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6596" y="162695"/>
          <a:ext cx="1191810" cy="348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33569</xdr:colOff>
      <xdr:row>12</xdr:row>
      <xdr:rowOff>11208</xdr:rowOff>
    </xdr:from>
    <xdr:to>
      <xdr:col>4</xdr:col>
      <xdr:colOff>405044</xdr:colOff>
      <xdr:row>23</xdr:row>
      <xdr:rowOff>212912</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95250</xdr:colOff>
      <xdr:row>0</xdr:row>
      <xdr:rowOff>95250</xdr:rowOff>
    </xdr:from>
    <xdr:to>
      <xdr:col>1</xdr:col>
      <xdr:colOff>1427250</xdr:colOff>
      <xdr:row>2</xdr:row>
      <xdr:rowOff>195000</xdr:rowOff>
    </xdr:to>
    <xdr:pic>
      <xdr:nvPicPr>
        <xdr:cNvPr id="2" name="Imagen 1">
          <a:extLst>
            <a:ext uri="{FF2B5EF4-FFF2-40B4-BE49-F238E27FC236}">
              <a16:creationId xmlns:a16="http://schemas.microsoft.com/office/drawing/2014/main" id="{D8ABF30A-9BBE-433C-B38F-93B63D116AE2}"/>
            </a:ext>
          </a:extLst>
        </xdr:cNvPr>
        <xdr:cNvPicPr preferRelativeResize="0">
          <a:picLocks/>
        </xdr:cNvPicPr>
      </xdr:nvPicPr>
      <xdr:blipFill>
        <a:blip xmlns:r="http://schemas.openxmlformats.org/officeDocument/2006/relationships" r:embed="rId3"/>
        <a:stretch>
          <a:fillRect/>
        </a:stretch>
      </xdr:blipFill>
      <xdr:spPr>
        <a:xfrm>
          <a:off x="476250" y="95250"/>
          <a:ext cx="1332000" cy="576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67867</xdr:colOff>
      <xdr:row>1</xdr:row>
      <xdr:rowOff>9759</xdr:rowOff>
    </xdr:from>
    <xdr:to>
      <xdr:col>8</xdr:col>
      <xdr:colOff>437911</xdr:colOff>
      <xdr:row>2</xdr:row>
      <xdr:rowOff>115412</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8749" y="252553"/>
          <a:ext cx="1191810" cy="348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16</xdr:row>
      <xdr:rowOff>47624</xdr:rowOff>
    </xdr:from>
    <xdr:to>
      <xdr:col>4</xdr:col>
      <xdr:colOff>361950</xdr:colOff>
      <xdr:row>23</xdr:row>
      <xdr:rowOff>331304</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85725</xdr:colOff>
      <xdr:row>0</xdr:row>
      <xdr:rowOff>95250</xdr:rowOff>
    </xdr:from>
    <xdr:to>
      <xdr:col>2</xdr:col>
      <xdr:colOff>693825</xdr:colOff>
      <xdr:row>2</xdr:row>
      <xdr:rowOff>175950</xdr:rowOff>
    </xdr:to>
    <xdr:pic>
      <xdr:nvPicPr>
        <xdr:cNvPr id="2" name="Imagen 1">
          <a:extLst>
            <a:ext uri="{FF2B5EF4-FFF2-40B4-BE49-F238E27FC236}">
              <a16:creationId xmlns:a16="http://schemas.microsoft.com/office/drawing/2014/main" id="{0476A5E9-E113-4F1A-B06E-DE06E5A3A75B}"/>
            </a:ext>
          </a:extLst>
        </xdr:cNvPr>
        <xdr:cNvPicPr preferRelativeResize="0">
          <a:picLocks/>
        </xdr:cNvPicPr>
      </xdr:nvPicPr>
      <xdr:blipFill>
        <a:blip xmlns:r="http://schemas.openxmlformats.org/officeDocument/2006/relationships" r:embed="rId3"/>
        <a:stretch>
          <a:fillRect/>
        </a:stretch>
      </xdr:blipFill>
      <xdr:spPr>
        <a:xfrm>
          <a:off x="514350" y="95250"/>
          <a:ext cx="1332000" cy="57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966964</xdr:colOff>
      <xdr:row>1</xdr:row>
      <xdr:rowOff>14428</xdr:rowOff>
    </xdr:from>
    <xdr:to>
      <xdr:col>11</xdr:col>
      <xdr:colOff>164476</xdr:colOff>
      <xdr:row>2</xdr:row>
      <xdr:rowOff>124750</xdr:rowOff>
    </xdr:to>
    <xdr:pic>
      <xdr:nvPicPr>
        <xdr:cNvPr id="9" name="Imagen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30792" y="252553"/>
          <a:ext cx="1191810" cy="348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24849</xdr:colOff>
      <xdr:row>10</xdr:row>
      <xdr:rowOff>44726</xdr:rowOff>
    </xdr:from>
    <xdr:to>
      <xdr:col>8</xdr:col>
      <xdr:colOff>198782</xdr:colOff>
      <xdr:row>20</xdr:row>
      <xdr:rowOff>207065</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74544</xdr:colOff>
      <xdr:row>0</xdr:row>
      <xdr:rowOff>91109</xdr:rowOff>
    </xdr:from>
    <xdr:to>
      <xdr:col>1</xdr:col>
      <xdr:colOff>1406544</xdr:colOff>
      <xdr:row>2</xdr:row>
      <xdr:rowOff>186718</xdr:rowOff>
    </xdr:to>
    <xdr:pic>
      <xdr:nvPicPr>
        <xdr:cNvPr id="2" name="Imagen 1">
          <a:extLst>
            <a:ext uri="{FF2B5EF4-FFF2-40B4-BE49-F238E27FC236}">
              <a16:creationId xmlns:a16="http://schemas.microsoft.com/office/drawing/2014/main" id="{D074B8DE-1A12-41F8-A315-81B210F64986}"/>
            </a:ext>
          </a:extLst>
        </xdr:cNvPr>
        <xdr:cNvPicPr preferRelativeResize="0">
          <a:picLocks/>
        </xdr:cNvPicPr>
      </xdr:nvPicPr>
      <xdr:blipFill>
        <a:blip xmlns:r="http://schemas.openxmlformats.org/officeDocument/2006/relationships" r:embed="rId3"/>
        <a:stretch>
          <a:fillRect/>
        </a:stretch>
      </xdr:blipFill>
      <xdr:spPr>
        <a:xfrm>
          <a:off x="331305" y="91109"/>
          <a:ext cx="1332000" cy="57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594893</xdr:colOff>
      <xdr:row>1</xdr:row>
      <xdr:rowOff>14428</xdr:rowOff>
    </xdr:from>
    <xdr:to>
      <xdr:col>10</xdr:col>
      <xdr:colOff>268656</xdr:colOff>
      <xdr:row>2</xdr:row>
      <xdr:rowOff>124750</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1260" y="252553"/>
          <a:ext cx="1191810" cy="348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33338</xdr:colOff>
      <xdr:row>6</xdr:row>
      <xdr:rowOff>228601</xdr:rowOff>
    </xdr:from>
    <xdr:to>
      <xdr:col>6</xdr:col>
      <xdr:colOff>619125</xdr:colOff>
      <xdr:row>11</xdr:row>
      <xdr:rowOff>295275</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38100</xdr:colOff>
      <xdr:row>11</xdr:row>
      <xdr:rowOff>295275</xdr:rowOff>
    </xdr:from>
    <xdr:to>
      <xdr:col>6</xdr:col>
      <xdr:colOff>619125</xdr:colOff>
      <xdr:row>27</xdr:row>
      <xdr:rowOff>152400</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76200</xdr:colOff>
      <xdr:row>0</xdr:row>
      <xdr:rowOff>76200</xdr:rowOff>
    </xdr:from>
    <xdr:to>
      <xdr:col>1</xdr:col>
      <xdr:colOff>1408200</xdr:colOff>
      <xdr:row>2</xdr:row>
      <xdr:rowOff>175950</xdr:rowOff>
    </xdr:to>
    <xdr:pic>
      <xdr:nvPicPr>
        <xdr:cNvPr id="2" name="Imagen 1">
          <a:extLst>
            <a:ext uri="{FF2B5EF4-FFF2-40B4-BE49-F238E27FC236}">
              <a16:creationId xmlns:a16="http://schemas.microsoft.com/office/drawing/2014/main" id="{F79DB222-D778-4AD1-8C83-CAA24C2215AD}"/>
            </a:ext>
          </a:extLst>
        </xdr:cNvPr>
        <xdr:cNvPicPr preferRelativeResize="0">
          <a:picLocks/>
        </xdr:cNvPicPr>
      </xdr:nvPicPr>
      <xdr:blipFill>
        <a:blip xmlns:r="http://schemas.openxmlformats.org/officeDocument/2006/relationships" r:embed="rId4"/>
        <a:stretch>
          <a:fillRect/>
        </a:stretch>
      </xdr:blipFill>
      <xdr:spPr>
        <a:xfrm>
          <a:off x="447675" y="76200"/>
          <a:ext cx="1332000" cy="576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6:L24"/>
  <sheetViews>
    <sheetView tabSelected="1" zoomScaleNormal="100" workbookViewId="0">
      <selection activeCell="C6" sqref="C6"/>
    </sheetView>
  </sheetViews>
  <sheetFormatPr baseColWidth="10" defaultRowHeight="15"/>
  <cols>
    <col min="1" max="16384" width="11.42578125" style="29"/>
  </cols>
  <sheetData>
    <row r="6" spans="2:11" ht="18">
      <c r="B6" s="69" t="s">
        <v>955</v>
      </c>
      <c r="C6" s="70"/>
      <c r="D6" s="70"/>
      <c r="E6" s="70"/>
      <c r="F6" s="70"/>
      <c r="G6" s="70"/>
      <c r="H6" s="70"/>
      <c r="I6" s="70"/>
      <c r="J6" s="70"/>
      <c r="K6" s="70"/>
    </row>
    <row r="7" spans="2:11">
      <c r="B7" s="70"/>
      <c r="C7" s="70"/>
      <c r="D7" s="70"/>
      <c r="E7" s="70"/>
      <c r="F7" s="70"/>
      <c r="G7" s="70"/>
      <c r="H7" s="70"/>
      <c r="I7" s="70"/>
      <c r="J7" s="70"/>
      <c r="K7" s="70"/>
    </row>
    <row r="8" spans="2:11">
      <c r="B8" s="262" t="s">
        <v>1035</v>
      </c>
      <c r="C8" s="262"/>
      <c r="D8" s="262"/>
      <c r="E8" s="262"/>
      <c r="F8" s="262"/>
      <c r="G8" s="262"/>
      <c r="H8" s="262"/>
      <c r="I8" s="262"/>
      <c r="J8" s="262"/>
      <c r="K8" s="262"/>
    </row>
    <row r="9" spans="2:11">
      <c r="B9" s="262"/>
      <c r="C9" s="262"/>
      <c r="D9" s="262"/>
      <c r="E9" s="262"/>
      <c r="F9" s="262"/>
      <c r="G9" s="262"/>
      <c r="H9" s="262"/>
      <c r="I9" s="262"/>
      <c r="J9" s="262"/>
      <c r="K9" s="262"/>
    </row>
    <row r="10" spans="2:11">
      <c r="B10" s="262"/>
      <c r="C10" s="262"/>
      <c r="D10" s="262"/>
      <c r="E10" s="262"/>
      <c r="F10" s="262"/>
      <c r="G10" s="262"/>
      <c r="H10" s="262"/>
      <c r="I10" s="262"/>
      <c r="J10" s="262"/>
      <c r="K10" s="262"/>
    </row>
    <row r="11" spans="2:11" ht="15" customHeight="1">
      <c r="B11" s="262" t="s">
        <v>1063</v>
      </c>
      <c r="C11" s="262"/>
      <c r="D11" s="262"/>
      <c r="E11" s="262"/>
      <c r="F11" s="262"/>
      <c r="G11" s="262"/>
      <c r="H11" s="262"/>
      <c r="I11" s="262"/>
      <c r="J11" s="262"/>
      <c r="K11" s="262"/>
    </row>
    <row r="12" spans="2:11" ht="15" customHeight="1">
      <c r="B12" s="262"/>
      <c r="C12" s="262"/>
      <c r="D12" s="262"/>
      <c r="E12" s="262"/>
      <c r="F12" s="262"/>
      <c r="G12" s="262"/>
      <c r="H12" s="262"/>
      <c r="I12" s="262"/>
      <c r="J12" s="262"/>
      <c r="K12" s="262"/>
    </row>
    <row r="13" spans="2:11" ht="15" customHeight="1">
      <c r="B13" s="262"/>
      <c r="C13" s="262"/>
      <c r="D13" s="262"/>
      <c r="E13" s="262"/>
      <c r="F13" s="262"/>
      <c r="G13" s="262"/>
      <c r="H13" s="262"/>
      <c r="I13" s="262"/>
      <c r="J13" s="262"/>
      <c r="K13" s="262"/>
    </row>
    <row r="14" spans="2:11" ht="15" customHeight="1">
      <c r="B14" s="262"/>
      <c r="C14" s="262"/>
      <c r="D14" s="262"/>
      <c r="E14" s="262"/>
      <c r="F14" s="262"/>
      <c r="G14" s="262"/>
      <c r="H14" s="262"/>
      <c r="I14" s="262"/>
      <c r="J14" s="262"/>
      <c r="K14" s="262"/>
    </row>
    <row r="15" spans="2:11" ht="15" customHeight="1">
      <c r="B15" s="262" t="s">
        <v>1064</v>
      </c>
      <c r="C15" s="262"/>
      <c r="D15" s="262"/>
      <c r="E15" s="262"/>
      <c r="F15" s="262"/>
      <c r="G15" s="262"/>
      <c r="H15" s="262"/>
      <c r="I15" s="262"/>
      <c r="J15" s="262"/>
      <c r="K15" s="262"/>
    </row>
    <row r="16" spans="2:11" ht="15" customHeight="1">
      <c r="B16" s="262"/>
      <c r="C16" s="262"/>
      <c r="D16" s="262"/>
      <c r="E16" s="262"/>
      <c r="F16" s="262"/>
      <c r="G16" s="262"/>
      <c r="H16" s="262"/>
      <c r="I16" s="262"/>
      <c r="J16" s="262"/>
      <c r="K16" s="262"/>
    </row>
    <row r="17" spans="2:12" ht="15" customHeight="1">
      <c r="B17" s="262"/>
      <c r="C17" s="262"/>
      <c r="D17" s="262"/>
      <c r="E17" s="262"/>
      <c r="F17" s="262"/>
      <c r="G17" s="262"/>
      <c r="H17" s="262"/>
      <c r="I17" s="262"/>
      <c r="J17" s="262"/>
      <c r="K17" s="262"/>
    </row>
    <row r="18" spans="2:12" ht="30" customHeight="1">
      <c r="B18" s="71"/>
      <c r="C18" s="70"/>
      <c r="D18" s="70"/>
      <c r="E18" s="70"/>
      <c r="F18" s="70"/>
      <c r="G18" s="70"/>
      <c r="H18" s="70"/>
      <c r="I18" s="70"/>
      <c r="J18" s="70"/>
      <c r="K18" s="70"/>
    </row>
    <row r="19" spans="2:12" ht="30" customHeight="1">
      <c r="B19" s="263" t="s">
        <v>945</v>
      </c>
      <c r="C19" s="263"/>
      <c r="D19" s="263"/>
      <c r="E19" s="263"/>
      <c r="F19" s="263"/>
      <c r="G19" s="70"/>
      <c r="H19" s="263" t="s">
        <v>947</v>
      </c>
      <c r="I19" s="263"/>
      <c r="J19" s="263"/>
      <c r="K19" s="263"/>
      <c r="L19" s="53"/>
    </row>
    <row r="20" spans="2:12" ht="39" customHeight="1">
      <c r="B20" s="264" t="s">
        <v>949</v>
      </c>
      <c r="C20" s="264"/>
      <c r="D20" s="264"/>
      <c r="E20" s="264"/>
      <c r="F20" s="264"/>
      <c r="G20" s="70"/>
      <c r="H20" s="261" t="s">
        <v>950</v>
      </c>
      <c r="I20" s="261"/>
      <c r="J20" s="261"/>
      <c r="K20" s="261"/>
    </row>
    <row r="21" spans="2:12" ht="30" customHeight="1">
      <c r="B21" s="265" t="s">
        <v>508</v>
      </c>
      <c r="C21" s="265"/>
      <c r="D21" s="265"/>
      <c r="E21" s="265"/>
      <c r="F21" s="265"/>
      <c r="G21" s="70"/>
      <c r="H21" s="265" t="s">
        <v>951</v>
      </c>
      <c r="I21" s="265"/>
      <c r="J21" s="265"/>
      <c r="K21" s="265"/>
    </row>
    <row r="22" spans="2:12" ht="30" customHeight="1">
      <c r="B22" s="261" t="s">
        <v>948</v>
      </c>
      <c r="C22" s="261"/>
      <c r="D22" s="261"/>
      <c r="E22" s="261"/>
      <c r="F22" s="261"/>
      <c r="G22" s="70"/>
      <c r="H22" s="261" t="s">
        <v>952</v>
      </c>
      <c r="I22" s="261"/>
      <c r="J22" s="261"/>
      <c r="K22" s="261"/>
    </row>
    <row r="23" spans="2:12" ht="30" customHeight="1">
      <c r="B23" s="263" t="s">
        <v>946</v>
      </c>
      <c r="C23" s="263"/>
      <c r="D23" s="263"/>
      <c r="E23" s="263"/>
      <c r="F23" s="263"/>
      <c r="G23" s="70"/>
      <c r="H23" s="263" t="s">
        <v>956</v>
      </c>
      <c r="I23" s="263"/>
      <c r="J23" s="263"/>
      <c r="K23" s="263"/>
    </row>
    <row r="24" spans="2:12" ht="30" customHeight="1">
      <c r="B24" s="261" t="s">
        <v>1034</v>
      </c>
      <c r="C24" s="261"/>
      <c r="D24" s="261"/>
      <c r="E24" s="261"/>
      <c r="F24" s="261"/>
      <c r="G24" s="70"/>
      <c r="H24" s="70"/>
      <c r="I24" s="70"/>
      <c r="J24" s="70"/>
      <c r="K24" s="70"/>
    </row>
  </sheetData>
  <sheetProtection algorithmName="SHA-512" hashValue="idJSIkpMj3YMGez84OVZ5d8M7RMtVy7ke/J0k0nIlsQaoU7pKRPuCh1RjORU+VTvfw6uEFtb/L0WbZA9G9n7Vg==" saltValue="f2KP/luwY96zI6OMlcwruw==" spinCount="100000" sheet="1" objects="1" scenarios="1"/>
  <mergeCells count="14">
    <mergeCell ref="B24:F24"/>
    <mergeCell ref="B8:K10"/>
    <mergeCell ref="B11:K14"/>
    <mergeCell ref="B15:K17"/>
    <mergeCell ref="B19:F19"/>
    <mergeCell ref="B20:F20"/>
    <mergeCell ref="B21:F21"/>
    <mergeCell ref="B22:F22"/>
    <mergeCell ref="B23:F23"/>
    <mergeCell ref="H19:K19"/>
    <mergeCell ref="H20:K20"/>
    <mergeCell ref="H21:K21"/>
    <mergeCell ref="H22:K22"/>
    <mergeCell ref="H23:K23"/>
  </mergeCells>
  <hyperlinks>
    <hyperlink ref="B19:F19" location="'POBLACIÓN TOTAL'!M4" display="Población Total" xr:uid="{00000000-0004-0000-0000-000000000000}"/>
    <hyperlink ref="B21:F21" location="HOGARES!I4" display="Hogares" xr:uid="{00000000-0004-0000-0000-000001000000}"/>
    <hyperlink ref="B22:F22" location="'TAMAÑO DE LOCALIDADES'!H4" display="Tamaño de Localidades" xr:uid="{00000000-0004-0000-0000-000002000000}"/>
    <hyperlink ref="B23:F23" location="DISCAPACIDAD!H4" display="Discapacidad" xr:uid="{00000000-0004-0000-0000-000003000000}"/>
    <hyperlink ref="H20:K20" location="SALUD!K4" display="Salud" xr:uid="{00000000-0004-0000-0000-000004000000}"/>
    <hyperlink ref="H21:K21" location="'SERVICIOS VIVIENDAS'!K4" display="Servicios en Viviendas" xr:uid="{00000000-0004-0000-0000-000005000000}"/>
    <hyperlink ref="H22:K22" location="'CALIDAD VIVIENDAS'!K4" display="Calidad de las Viviendas" xr:uid="{00000000-0004-0000-0000-000006000000}"/>
    <hyperlink ref="H23:K23" location="'ESPACIO VIVIENDAS'!K4" display="Espacios de las Viviendas" xr:uid="{00000000-0004-0000-0000-000007000000}"/>
    <hyperlink ref="H19:K19" location="EDUCACIÓN!K4" display="Educación" xr:uid="{00000000-0004-0000-0000-000008000000}"/>
    <hyperlink ref="B20:F20" location="'POBLACIÓN INDÍGENA'!L4" display="Población Hablante de Lengua Indígena" xr:uid="{00000000-0004-0000-0000-000009000000}"/>
    <hyperlink ref="B24:F24" location="OCUPACIÓN!L1" display="Ocupación" xr:uid="{00000000-0004-0000-0000-00000A000000}"/>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P29"/>
  <sheetViews>
    <sheetView topLeftCell="A10" zoomScaleNormal="100" workbookViewId="0">
      <selection activeCell="L10" sqref="L10"/>
    </sheetView>
  </sheetViews>
  <sheetFormatPr baseColWidth="10" defaultRowHeight="15"/>
  <cols>
    <col min="1" max="1" width="6.28515625" style="29" customWidth="1"/>
    <col min="2" max="2" width="22.140625" style="29" customWidth="1"/>
    <col min="3" max="3" width="10.28515625" style="29" customWidth="1"/>
    <col min="4" max="4" width="11.140625" style="29" customWidth="1"/>
    <col min="5" max="5" width="12.42578125" style="29" customWidth="1"/>
    <col min="6" max="6" width="11.7109375" style="29" customWidth="1"/>
    <col min="7" max="7" width="3" style="29" customWidth="1"/>
    <col min="8" max="9" width="15.5703125" style="29" customWidth="1"/>
    <col min="10" max="10" width="10.42578125" style="29" customWidth="1"/>
    <col min="11" max="16384" width="11.42578125" style="29"/>
  </cols>
  <sheetData>
    <row r="1" spans="1:16" ht="19.5" customHeight="1"/>
    <row r="2" spans="1:16" ht="19.5" customHeight="1"/>
    <row r="3" spans="1:16" ht="19.5" customHeight="1"/>
    <row r="4" spans="1:16" ht="18">
      <c r="B4" s="72" t="s">
        <v>385</v>
      </c>
      <c r="C4" s="70"/>
      <c r="D4" s="70"/>
      <c r="E4" s="70"/>
      <c r="F4" s="70"/>
      <c r="G4" s="70"/>
      <c r="H4" s="70"/>
      <c r="I4" s="70"/>
      <c r="J4" s="70"/>
      <c r="K4" s="76" t="s">
        <v>953</v>
      </c>
    </row>
    <row r="5" spans="1:16" ht="15.75">
      <c r="B5" s="77" t="s">
        <v>386</v>
      </c>
      <c r="C5" s="70"/>
      <c r="D5" s="70"/>
      <c r="E5" s="70"/>
      <c r="F5" s="70"/>
      <c r="G5" s="70"/>
      <c r="H5" s="70"/>
      <c r="I5" s="70"/>
      <c r="J5" s="70"/>
      <c r="K5" s="70"/>
    </row>
    <row r="6" spans="1:16" ht="23.25" customHeight="1">
      <c r="B6" s="117" t="s">
        <v>594</v>
      </c>
      <c r="C6" s="70"/>
      <c r="D6" s="70"/>
      <c r="E6" s="70"/>
      <c r="F6" s="70"/>
      <c r="G6" s="78" t="s">
        <v>9</v>
      </c>
      <c r="H6" s="79" t="str">
        <f>VLOOKUP('POBLACIÓN TOTAL'!J6,BASE!B3:B127,1,0)</f>
        <v>Villa Comaltitlán</v>
      </c>
      <c r="I6" s="223"/>
      <c r="J6" s="223"/>
      <c r="K6" s="223"/>
    </row>
    <row r="7" spans="1:16" ht="15.75">
      <c r="B7" s="77"/>
      <c r="C7" s="70"/>
      <c r="D7" s="70"/>
      <c r="E7" s="70"/>
      <c r="F7" s="70"/>
      <c r="G7" s="70"/>
      <c r="H7" s="70"/>
      <c r="I7" s="70"/>
      <c r="J7" s="70"/>
      <c r="K7" s="70"/>
    </row>
    <row r="8" spans="1:16" ht="34.5" customHeight="1">
      <c r="B8" s="70"/>
      <c r="C8" s="70"/>
      <c r="D8" s="70"/>
      <c r="E8" s="70"/>
      <c r="F8" s="70"/>
      <c r="G8" s="70"/>
      <c r="H8" s="333" t="s">
        <v>784</v>
      </c>
      <c r="I8" s="333"/>
      <c r="J8" s="333"/>
      <c r="K8" s="333"/>
      <c r="N8" s="336" t="s">
        <v>785</v>
      </c>
      <c r="O8" s="336"/>
      <c r="P8" s="336"/>
    </row>
    <row r="9" spans="1:16" ht="24">
      <c r="B9" s="70"/>
      <c r="C9" s="70"/>
      <c r="D9" s="70"/>
      <c r="E9" s="70"/>
      <c r="F9" s="70"/>
      <c r="G9" s="70"/>
      <c r="H9" s="339" t="s">
        <v>11</v>
      </c>
      <c r="I9" s="340"/>
      <c r="J9" s="224" t="s">
        <v>771</v>
      </c>
      <c r="K9" s="224" t="s">
        <v>362</v>
      </c>
      <c r="N9" s="35"/>
      <c r="O9" s="36" t="s">
        <v>771</v>
      </c>
      <c r="P9" s="36" t="s">
        <v>774</v>
      </c>
    </row>
    <row r="10" spans="1:16" ht="29.25" customHeight="1">
      <c r="B10" s="70"/>
      <c r="C10" s="70"/>
      <c r="D10" s="70"/>
      <c r="E10" s="70"/>
      <c r="F10" s="70"/>
      <c r="G10" s="70"/>
      <c r="H10" s="341"/>
      <c r="I10" s="342"/>
      <c r="J10" s="225">
        <f>C16</f>
        <v>7645</v>
      </c>
      <c r="K10" s="226">
        <f>J10/J10</f>
        <v>1</v>
      </c>
      <c r="N10" s="37" t="s">
        <v>786</v>
      </c>
      <c r="O10" s="7">
        <f>VLOOKUP(H6,BASE!B3:KA127,286,0)</f>
        <v>7539.0000108499999</v>
      </c>
      <c r="P10" s="38">
        <f>O10/C16</f>
        <v>0.98613472999999996</v>
      </c>
    </row>
    <row r="11" spans="1:16" ht="38.25" customHeight="1">
      <c r="B11" s="70"/>
      <c r="C11" s="70"/>
      <c r="D11" s="70"/>
      <c r="E11" s="70"/>
      <c r="F11" s="70"/>
      <c r="G11" s="70"/>
      <c r="H11" s="331" t="s">
        <v>991</v>
      </c>
      <c r="I11" s="331"/>
      <c r="J11" s="227">
        <f>VLOOKUP(H6,BASE!B3:IX127,257,0)</f>
        <v>2803</v>
      </c>
      <c r="K11" s="228">
        <f>J11/J10</f>
        <v>0.36664486592544149</v>
      </c>
      <c r="N11" s="37" t="s">
        <v>873</v>
      </c>
      <c r="O11" s="7">
        <f>J11+J12+J13+J14</f>
        <v>3633</v>
      </c>
      <c r="P11" s="38">
        <f>O11/C16</f>
        <v>0.47521255722694572</v>
      </c>
    </row>
    <row r="12" spans="1:16" ht="37.5" customHeight="1">
      <c r="B12" s="70"/>
      <c r="C12" s="70"/>
      <c r="D12" s="70"/>
      <c r="E12" s="70"/>
      <c r="F12" s="70"/>
      <c r="G12" s="70"/>
      <c r="H12" s="332" t="s">
        <v>772</v>
      </c>
      <c r="I12" s="332"/>
      <c r="J12" s="229">
        <f>VLOOKUP(H6,BASE!B3:IY127,258,0)</f>
        <v>696</v>
      </c>
      <c r="K12" s="230">
        <f>J12/J10</f>
        <v>9.1039895356442121E-2</v>
      </c>
      <c r="N12" s="37" t="s">
        <v>874</v>
      </c>
      <c r="O12" s="7">
        <f>J21</f>
        <v>7350</v>
      </c>
      <c r="P12" s="38">
        <f>O12/C16</f>
        <v>0.96141268803139301</v>
      </c>
    </row>
    <row r="13" spans="1:16" ht="29.25" customHeight="1">
      <c r="B13" s="70"/>
      <c r="C13" s="70"/>
      <c r="D13" s="70"/>
      <c r="E13" s="70"/>
      <c r="F13" s="70"/>
      <c r="G13" s="70"/>
      <c r="H13" s="331" t="s">
        <v>999</v>
      </c>
      <c r="I13" s="331"/>
      <c r="J13" s="227">
        <f>VLOOKUP(H6,BASE!B3:IZ127,259,0)</f>
        <v>0</v>
      </c>
      <c r="K13" s="228">
        <f>J13/J10</f>
        <v>0</v>
      </c>
    </row>
    <row r="14" spans="1:16" ht="29.25" customHeight="1">
      <c r="A14" s="33"/>
      <c r="B14" s="343" t="s">
        <v>777</v>
      </c>
      <c r="C14" s="343"/>
      <c r="D14" s="343"/>
      <c r="E14" s="343"/>
      <c r="F14" s="343"/>
      <c r="G14" s="231"/>
      <c r="H14" s="332" t="s">
        <v>1000</v>
      </c>
      <c r="I14" s="332"/>
      <c r="J14" s="229">
        <f>VLOOKUP(H6,BASE!B3:JA127,260,0)</f>
        <v>134</v>
      </c>
      <c r="K14" s="230">
        <f>J14/J10</f>
        <v>1.7527795945062132E-2</v>
      </c>
    </row>
    <row r="15" spans="1:16" ht="29.25" customHeight="1">
      <c r="B15" s="337" t="s">
        <v>11</v>
      </c>
      <c r="C15" s="224" t="s">
        <v>771</v>
      </c>
      <c r="D15" s="224" t="s">
        <v>774</v>
      </c>
      <c r="E15" s="224" t="s">
        <v>775</v>
      </c>
      <c r="F15" s="224" t="s">
        <v>776</v>
      </c>
      <c r="G15" s="70"/>
      <c r="H15" s="331" t="s">
        <v>773</v>
      </c>
      <c r="I15" s="331"/>
      <c r="J15" s="227">
        <f>VLOOKUP(H6,BASE!B3:JB127,261,0)</f>
        <v>5</v>
      </c>
      <c r="K15" s="228">
        <f>J15/J10</f>
        <v>6.5402223675604975E-4</v>
      </c>
    </row>
    <row r="16" spans="1:16" ht="29.25" customHeight="1">
      <c r="B16" s="338"/>
      <c r="C16" s="225">
        <f>VLOOKUP(H6,BASE!B3:LZ127,337,0)</f>
        <v>7645</v>
      </c>
      <c r="D16" s="226">
        <f>C16/C16</f>
        <v>1</v>
      </c>
      <c r="E16" s="225">
        <f>VLOOKUP(H6,BASE!B3:MA127,338,0)</f>
        <v>28992</v>
      </c>
      <c r="F16" s="226">
        <f>E16/E16</f>
        <v>1</v>
      </c>
      <c r="G16" s="70"/>
      <c r="H16" s="332" t="s">
        <v>1001</v>
      </c>
      <c r="I16" s="332"/>
      <c r="J16" s="229">
        <f>VLOOKUP(H6,BASE!B3:JC127,262,0)</f>
        <v>308</v>
      </c>
      <c r="K16" s="230">
        <f>J16/J10</f>
        <v>4.0287769784172658E-2</v>
      </c>
    </row>
    <row r="17" spans="1:11" ht="29.25" customHeight="1">
      <c r="B17" s="232" t="s">
        <v>778</v>
      </c>
      <c r="C17" s="233">
        <f>VLOOKUP(H6,BASE!B3:HS127,226,0)</f>
        <v>6451</v>
      </c>
      <c r="D17" s="228">
        <f>C17/C16</f>
        <v>0.84381948986265531</v>
      </c>
      <c r="E17" s="227">
        <f>VLOOKUP(H6,BASE!B3:KB127,287,0)</f>
        <v>24868</v>
      </c>
      <c r="F17" s="228">
        <f>E17/E16</f>
        <v>0.85775386313465785</v>
      </c>
      <c r="G17" s="70"/>
      <c r="H17" s="70"/>
      <c r="I17" s="70"/>
      <c r="J17" s="70"/>
      <c r="K17" s="70"/>
    </row>
    <row r="18" spans="1:11" ht="29.25" customHeight="1">
      <c r="B18" s="234" t="s">
        <v>779</v>
      </c>
      <c r="C18" s="229">
        <f>VLOOKUP(H6,BASE!B3:HT127,227,0)</f>
        <v>1</v>
      </c>
      <c r="D18" s="230">
        <f>C18/C16</f>
        <v>1.3080444735120994E-4</v>
      </c>
      <c r="E18" s="229">
        <f>VLOOKUP(H6,BASE!B3:KC127,288,0)</f>
        <v>2</v>
      </c>
      <c r="F18" s="230">
        <f>E18/E16</f>
        <v>6.8984547461368653E-5</v>
      </c>
      <c r="G18" s="70"/>
      <c r="H18" s="333" t="s">
        <v>994</v>
      </c>
      <c r="I18" s="333"/>
      <c r="J18" s="333"/>
      <c r="K18" s="333"/>
    </row>
    <row r="19" spans="1:11" ht="21" customHeight="1">
      <c r="B19" s="235" t="s">
        <v>780</v>
      </c>
      <c r="C19" s="227">
        <f>VLOOKUP(H6,BASE!B3:HU127,228,0)</f>
        <v>30</v>
      </c>
      <c r="D19" s="228">
        <f>C19/C16</f>
        <v>3.9241334205362983E-3</v>
      </c>
      <c r="E19" s="227">
        <f>VLOOKUP(H6,BASE!B3:KD127,289,0)</f>
        <v>93</v>
      </c>
      <c r="F19" s="228">
        <f>E19/E16</f>
        <v>3.2077814569536423E-3</v>
      </c>
      <c r="G19" s="70"/>
      <c r="H19" s="339" t="s">
        <v>11</v>
      </c>
      <c r="I19" s="340"/>
      <c r="J19" s="236" t="s">
        <v>771</v>
      </c>
      <c r="K19" s="236" t="s">
        <v>774</v>
      </c>
    </row>
    <row r="20" spans="1:11" ht="26.25" customHeight="1">
      <c r="A20" s="33"/>
      <c r="B20" s="234" t="s">
        <v>815</v>
      </c>
      <c r="C20" s="237">
        <f>VLOOKUP(H6,BASE!B3:HV127,229,0)</f>
        <v>0</v>
      </c>
      <c r="D20" s="230">
        <f>C20/C16</f>
        <v>0</v>
      </c>
      <c r="E20" s="229">
        <f>VLOOKUP(H6,BASE!B3:KE127,290,0)</f>
        <v>0</v>
      </c>
      <c r="F20" s="230">
        <f>E20/E16</f>
        <v>0</v>
      </c>
      <c r="G20" s="70"/>
      <c r="H20" s="341"/>
      <c r="I20" s="342"/>
      <c r="J20" s="225">
        <f>C16</f>
        <v>7645</v>
      </c>
      <c r="K20" s="226">
        <f>J20/J20</f>
        <v>1</v>
      </c>
    </row>
    <row r="21" spans="1:11" s="30" customFormat="1" ht="26.25" customHeight="1">
      <c r="A21" s="34"/>
      <c r="B21" s="238" t="s">
        <v>781</v>
      </c>
      <c r="C21" s="227">
        <f>VLOOKUP(H6,BASE!B3:HW127,230,0)</f>
        <v>6</v>
      </c>
      <c r="D21" s="228">
        <f>C21/C16</f>
        <v>7.8482668410725963E-4</v>
      </c>
      <c r="E21" s="227">
        <f>VLOOKUP(H6,BASE!B3:KF127,291,0)</f>
        <v>17</v>
      </c>
      <c r="F21" s="228">
        <f>E21/E16</f>
        <v>5.8636865342163351E-4</v>
      </c>
      <c r="G21" s="239"/>
      <c r="H21" s="328" t="s">
        <v>803</v>
      </c>
      <c r="I21" s="329"/>
      <c r="J21" s="227">
        <f>VLOOKUP(H6,BASE!B3:JD127,263,0)</f>
        <v>7350</v>
      </c>
      <c r="K21" s="228">
        <f>J21/J20</f>
        <v>0.96141268803139301</v>
      </c>
    </row>
    <row r="22" spans="1:11" ht="21" customHeight="1">
      <c r="B22" s="240" t="s">
        <v>782</v>
      </c>
      <c r="C22" s="229">
        <f>VLOOKUP(H6,BASE!B3:HX127,231,0)</f>
        <v>0</v>
      </c>
      <c r="D22" s="230">
        <f>C22/C16</f>
        <v>0</v>
      </c>
      <c r="E22" s="229">
        <f>VLOOKUP(H6,BASE!B3:KG127,292,0)</f>
        <v>0</v>
      </c>
      <c r="F22" s="230">
        <f>E22/E16</f>
        <v>0</v>
      </c>
      <c r="G22" s="70"/>
      <c r="H22" s="334" t="s">
        <v>802</v>
      </c>
      <c r="I22" s="335"/>
      <c r="J22" s="229">
        <f>VLOOKUP(H6,BASE!B3:JE127,264,0)</f>
        <v>294</v>
      </c>
      <c r="K22" s="230">
        <f>J22/J20</f>
        <v>3.845650752125572E-2</v>
      </c>
    </row>
    <row r="23" spans="1:11" ht="21" customHeight="1">
      <c r="B23" s="241" t="s">
        <v>783</v>
      </c>
      <c r="C23" s="227">
        <f>VLOOKUP(H6,BASE!B3:HY127,232,0)</f>
        <v>28</v>
      </c>
      <c r="D23" s="228">
        <f>C23/C16</f>
        <v>3.6625245258338785E-3</v>
      </c>
      <c r="E23" s="227">
        <f>VLOOKUP(H6,BASE!B3:KH127,293,0)</f>
        <v>90</v>
      </c>
      <c r="F23" s="228">
        <f>E23/E16</f>
        <v>3.1043046357615892E-3</v>
      </c>
      <c r="G23" s="70"/>
      <c r="H23" s="328" t="s">
        <v>10</v>
      </c>
      <c r="I23" s="329"/>
      <c r="J23" s="227">
        <f>VLOOKUP(H6,BASE!B3:JF127,265,0)</f>
        <v>1</v>
      </c>
      <c r="K23" s="228">
        <f>J23/J20</f>
        <v>1.3080444735120994E-4</v>
      </c>
    </row>
    <row r="24" spans="1:11" ht="21" customHeight="1">
      <c r="A24" s="33"/>
      <c r="B24" s="240" t="s">
        <v>10</v>
      </c>
      <c r="C24" s="229">
        <f>VLOOKUP(H6,BASE!B3:HZ127,233,0)</f>
        <v>0</v>
      </c>
      <c r="D24" s="230">
        <f>C24/C16</f>
        <v>0</v>
      </c>
      <c r="E24" s="229">
        <f>VLOOKUP(H6,BASE!B3:KI127,294,0)</f>
        <v>0</v>
      </c>
      <c r="F24" s="230">
        <f>E24/E16</f>
        <v>0</v>
      </c>
      <c r="G24" s="70"/>
      <c r="H24" s="330"/>
      <c r="I24" s="330"/>
      <c r="J24" s="242"/>
      <c r="K24" s="243"/>
    </row>
    <row r="25" spans="1:11" ht="37.5" customHeight="1"/>
    <row r="26" spans="1:11" ht="39.75" customHeight="1"/>
    <row r="27" spans="1:11" ht="42.75" customHeight="1"/>
    <row r="28" spans="1:11" ht="18.75" customHeight="1"/>
    <row r="29" spans="1:11" ht="33" customHeight="1"/>
  </sheetData>
  <sheetProtection algorithmName="SHA-512" hashValue="BIdcMIXg65TqthH84tY3lQN0QzrG9C/+RITHqOIC6/tr00FBKJzLWgbq1ld+2t01UmwB32v7c3wH6KQi2xWyew==" saltValue="a1fAl2zlr/TWsReAyYaTMA==" spinCount="100000" sheet="1" objects="1" scenarios="1"/>
  <mergeCells count="17">
    <mergeCell ref="N8:P8"/>
    <mergeCell ref="H8:K8"/>
    <mergeCell ref="B15:B16"/>
    <mergeCell ref="H9:I10"/>
    <mergeCell ref="H19:I20"/>
    <mergeCell ref="H11:I11"/>
    <mergeCell ref="H12:I12"/>
    <mergeCell ref="B14:F14"/>
    <mergeCell ref="H23:I23"/>
    <mergeCell ref="H24:I24"/>
    <mergeCell ref="H13:I13"/>
    <mergeCell ref="H14:I14"/>
    <mergeCell ref="H15:I15"/>
    <mergeCell ref="H16:I16"/>
    <mergeCell ref="H18:K18"/>
    <mergeCell ref="H21:I21"/>
    <mergeCell ref="H22:I22"/>
  </mergeCells>
  <hyperlinks>
    <hyperlink ref="K4" location="PRESENTACIÓN!C6" display="INICIO" xr:uid="{00000000-0004-0000-0900-000000000000}"/>
  </hyperlinks>
  <pageMargins left="0.43307086614173229" right="0.23622047244094491" top="0" bottom="0" header="0" footer="0"/>
  <pageSetup orientation="landscape" r:id="rId1"/>
  <ignoredErrors>
    <ignoredError sqref="E16:E24"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1:L26"/>
  <sheetViews>
    <sheetView topLeftCell="A4" zoomScaleNormal="100" workbookViewId="0">
      <selection activeCell="Q29" sqref="Q29"/>
    </sheetView>
  </sheetViews>
  <sheetFormatPr baseColWidth="10" defaultRowHeight="15"/>
  <cols>
    <col min="1" max="1" width="5.5703125" style="29" customWidth="1"/>
    <col min="2" max="2" width="19.140625" style="29" customWidth="1"/>
    <col min="3" max="3" width="11.42578125" style="29"/>
    <col min="4" max="4" width="8.5703125" style="29" customWidth="1"/>
    <col min="5" max="5" width="11.42578125" style="29"/>
    <col min="6" max="6" width="8.7109375" style="29" customWidth="1"/>
    <col min="7" max="7" width="7.85546875" style="29" customWidth="1"/>
    <col min="8" max="8" width="23.28515625" style="29" customWidth="1"/>
    <col min="9" max="9" width="11.42578125" style="29"/>
    <col min="10" max="10" width="7.85546875" style="29" customWidth="1"/>
    <col min="11" max="11" width="11.42578125" style="29"/>
    <col min="12" max="12" width="7.140625" style="29" customWidth="1"/>
    <col min="13" max="14" width="11.42578125" style="29"/>
    <col min="15" max="15" width="22.140625" style="29" customWidth="1"/>
    <col min="16" max="16384" width="11.42578125" style="29"/>
  </cols>
  <sheetData>
    <row r="1" spans="2:12" ht="18.75" customHeight="1"/>
    <row r="2" spans="2:12" ht="18.75" customHeight="1"/>
    <row r="3" spans="2:12" ht="18.75" customHeight="1"/>
    <row r="4" spans="2:12" ht="18">
      <c r="B4" s="72" t="s">
        <v>385</v>
      </c>
      <c r="C4" s="70"/>
      <c r="D4" s="70"/>
      <c r="E4" s="70"/>
      <c r="F4" s="70"/>
      <c r="G4" s="70"/>
      <c r="H4" s="70"/>
      <c r="I4" s="70"/>
      <c r="J4" s="70"/>
      <c r="K4" s="76" t="s">
        <v>953</v>
      </c>
      <c r="L4" s="70"/>
    </row>
    <row r="5" spans="2:12" ht="15.75">
      <c r="B5" s="77" t="s">
        <v>864</v>
      </c>
      <c r="C5" s="70"/>
      <c r="D5" s="70"/>
      <c r="E5" s="70"/>
      <c r="F5" s="70"/>
      <c r="G5" s="70"/>
      <c r="H5" s="70"/>
      <c r="I5" s="70"/>
      <c r="J5" s="70"/>
      <c r="K5" s="70"/>
      <c r="L5" s="70"/>
    </row>
    <row r="6" spans="2:12" ht="22.5" customHeight="1">
      <c r="B6" s="117" t="s">
        <v>594</v>
      </c>
      <c r="C6" s="70"/>
      <c r="D6" s="70"/>
      <c r="E6" s="70"/>
      <c r="F6" s="70"/>
      <c r="G6" s="78" t="s">
        <v>9</v>
      </c>
      <c r="H6" s="79" t="str">
        <f>VLOOKUP('POBLACIÓN TOTAL'!J6,BASE!B3:B127,1,0)</f>
        <v>Villa Comaltitlán</v>
      </c>
      <c r="I6" s="223"/>
      <c r="J6" s="223"/>
      <c r="K6" s="223"/>
      <c r="L6" s="223"/>
    </row>
    <row r="7" spans="2:12">
      <c r="B7" s="70"/>
      <c r="C7" s="70"/>
      <c r="D7" s="70"/>
      <c r="E7" s="70"/>
      <c r="F7" s="70"/>
      <c r="G7" s="70"/>
      <c r="H7" s="70"/>
      <c r="I7" s="70"/>
      <c r="J7" s="70"/>
      <c r="K7" s="70"/>
      <c r="L7" s="70"/>
    </row>
    <row r="8" spans="2:12" ht="20.25" customHeight="1">
      <c r="B8" s="344" t="s">
        <v>787</v>
      </c>
      <c r="C8" s="343"/>
      <c r="D8" s="343"/>
      <c r="E8" s="343"/>
      <c r="F8" s="343"/>
      <c r="G8" s="181"/>
      <c r="H8" s="70"/>
      <c r="I8" s="70"/>
      <c r="J8" s="70"/>
      <c r="K8" s="70"/>
      <c r="L8" s="70"/>
    </row>
    <row r="9" spans="2:12">
      <c r="B9" s="244"/>
      <c r="C9" s="245" t="s">
        <v>771</v>
      </c>
      <c r="D9" s="245" t="s">
        <v>362</v>
      </c>
      <c r="E9" s="245" t="s">
        <v>775</v>
      </c>
      <c r="F9" s="245" t="s">
        <v>362</v>
      </c>
      <c r="G9" s="246"/>
      <c r="H9" s="70"/>
      <c r="I9" s="70"/>
      <c r="J9" s="70"/>
      <c r="K9" s="70"/>
      <c r="L9" s="70"/>
    </row>
    <row r="10" spans="2:12">
      <c r="B10" s="247" t="s">
        <v>11</v>
      </c>
      <c r="C10" s="227">
        <f>VLOOKUP(H6,BASE!B3:LZ127,337,0)</f>
        <v>7645</v>
      </c>
      <c r="D10" s="228">
        <f>C10/C10</f>
        <v>1</v>
      </c>
      <c r="E10" s="227">
        <f>VLOOKUP(H6,BASE!B3:MA127,338,0)</f>
        <v>28992</v>
      </c>
      <c r="F10" s="228">
        <f>E10/E10</f>
        <v>1</v>
      </c>
      <c r="G10" s="246"/>
      <c r="H10" s="70"/>
      <c r="I10" s="70"/>
      <c r="J10" s="70"/>
      <c r="K10" s="70"/>
      <c r="L10" s="70"/>
    </row>
    <row r="11" spans="2:12">
      <c r="B11" s="234" t="s">
        <v>791</v>
      </c>
      <c r="C11" s="229">
        <f>VLOOKUP(H6,BASE!B3:JJ127,269,0)</f>
        <v>635</v>
      </c>
      <c r="D11" s="230">
        <f>C11/C10</f>
        <v>8.3060824068018319E-2</v>
      </c>
      <c r="E11" s="229">
        <f>VLOOKUP(H6,BASE!B3:KJ127,295,0)</f>
        <v>2589</v>
      </c>
      <c r="F11" s="230">
        <f>E11/E10</f>
        <v>8.9300496688741723E-2</v>
      </c>
      <c r="G11" s="246"/>
      <c r="H11" s="70"/>
      <c r="I11" s="70"/>
      <c r="J11" s="70"/>
      <c r="K11" s="70"/>
      <c r="L11" s="70"/>
    </row>
    <row r="12" spans="2:12">
      <c r="B12" s="235" t="s">
        <v>792</v>
      </c>
      <c r="C12" s="227">
        <f>VLOOKUP(H6,BASE!B3:JK127,270,0)</f>
        <v>6691</v>
      </c>
      <c r="D12" s="228">
        <f>C12/C10</f>
        <v>0.87521255722694569</v>
      </c>
      <c r="E12" s="227">
        <f>VLOOKUP(H6,BASE!B3:KK127,296,0)</f>
        <v>25235</v>
      </c>
      <c r="F12" s="228">
        <f>E12/E10</f>
        <v>0.87041252759381893</v>
      </c>
      <c r="G12" s="246"/>
      <c r="H12" s="70"/>
      <c r="I12" s="70"/>
      <c r="J12" s="70"/>
      <c r="K12" s="70"/>
      <c r="L12" s="70"/>
    </row>
    <row r="13" spans="2:12" ht="24">
      <c r="B13" s="234" t="s">
        <v>793</v>
      </c>
      <c r="C13" s="229">
        <f>VLOOKUP(H6,BASE!B3:JL127,271,0)</f>
        <v>318</v>
      </c>
      <c r="D13" s="230">
        <f>C13/C10</f>
        <v>4.1595814257684764E-2</v>
      </c>
      <c r="E13" s="229">
        <f>VLOOKUP(H6,BASE!B3:KL127,297,0)</f>
        <v>1166</v>
      </c>
      <c r="F13" s="230">
        <f>E13/E10</f>
        <v>4.0217991169977922E-2</v>
      </c>
      <c r="G13" s="246"/>
      <c r="H13" s="70"/>
      <c r="I13" s="70"/>
      <c r="J13" s="70"/>
      <c r="K13" s="70"/>
      <c r="L13" s="70"/>
    </row>
    <row r="14" spans="2:12" ht="36" customHeight="1">
      <c r="B14" s="235" t="s">
        <v>10</v>
      </c>
      <c r="C14" s="227">
        <f>VLOOKUP(H6,BASE!B3:JM127,272,0)</f>
        <v>1</v>
      </c>
      <c r="D14" s="228">
        <f>C14/C10</f>
        <v>1.3080444735120994E-4</v>
      </c>
      <c r="E14" s="227">
        <f>VLOOKUP(H6,BASE!B3:KM127,298,0)</f>
        <v>2</v>
      </c>
      <c r="F14" s="228">
        <f>E14/E10</f>
        <v>6.8984547461368653E-5</v>
      </c>
      <c r="G14" s="246"/>
      <c r="H14" s="70"/>
      <c r="I14" s="70"/>
      <c r="J14" s="70"/>
      <c r="K14" s="70"/>
      <c r="L14" s="70"/>
    </row>
    <row r="15" spans="2:12" ht="24" customHeight="1">
      <c r="B15" s="70"/>
      <c r="C15" s="70"/>
      <c r="D15" s="70"/>
      <c r="E15" s="70"/>
      <c r="F15" s="70"/>
      <c r="G15" s="70"/>
      <c r="H15" s="70"/>
      <c r="I15" s="70"/>
      <c r="J15" s="70"/>
      <c r="K15" s="70"/>
      <c r="L15" s="70"/>
    </row>
    <row r="16" spans="2:12" ht="37.5" customHeight="1">
      <c r="B16" s="347" t="s">
        <v>788</v>
      </c>
      <c r="C16" s="347"/>
      <c r="D16" s="347"/>
      <c r="E16" s="70"/>
      <c r="F16" s="70"/>
      <c r="G16" s="246"/>
      <c r="H16" s="345" t="s">
        <v>789</v>
      </c>
      <c r="I16" s="345"/>
      <c r="J16" s="345"/>
      <c r="K16" s="345"/>
      <c r="L16" s="345"/>
    </row>
    <row r="17" spans="2:12">
      <c r="B17" s="248"/>
      <c r="C17" s="245" t="s">
        <v>771</v>
      </c>
      <c r="D17" s="245" t="s">
        <v>362</v>
      </c>
      <c r="E17" s="70"/>
      <c r="F17" s="70"/>
      <c r="G17" s="246"/>
      <c r="H17" s="249"/>
      <c r="I17" s="250" t="s">
        <v>771</v>
      </c>
      <c r="J17" s="250" t="s">
        <v>362</v>
      </c>
      <c r="K17" s="250" t="s">
        <v>775</v>
      </c>
      <c r="L17" s="250" t="s">
        <v>362</v>
      </c>
    </row>
    <row r="18" spans="2:12" ht="24.75" customHeight="1">
      <c r="B18" s="235" t="s">
        <v>794</v>
      </c>
      <c r="C18" s="227">
        <f>VLOOKUP(H6,BASE!B3:JN127,273,0)</f>
        <v>5637</v>
      </c>
      <c r="D18" s="228">
        <f>C18/C10</f>
        <v>0.73734466971877044</v>
      </c>
      <c r="E18" s="70"/>
      <c r="F18" s="70"/>
      <c r="G18" s="246"/>
      <c r="H18" s="251" t="s">
        <v>803</v>
      </c>
      <c r="I18" s="242">
        <f>VLOOKUP(H6,BASE!B3:JH126,265,0)</f>
        <v>1</v>
      </c>
      <c r="J18" s="243">
        <f>I18/(I18+I19)</f>
        <v>1</v>
      </c>
      <c r="K18" s="242">
        <f>VLOOKUP(H6,BASE!B3:KR126,301,0)</f>
        <v>0</v>
      </c>
      <c r="L18" s="243">
        <f>K18/E10</f>
        <v>0</v>
      </c>
    </row>
    <row r="19" spans="2:12" ht="24.75" customHeight="1">
      <c r="B19" s="234" t="s">
        <v>795</v>
      </c>
      <c r="C19" s="229">
        <f>VLOOKUP(H6,BASE!B3:JO127,274,0)</f>
        <v>3975</v>
      </c>
      <c r="D19" s="230">
        <f>C19/C10</f>
        <v>0.51994767822105947</v>
      </c>
      <c r="E19" s="70"/>
      <c r="F19" s="70"/>
      <c r="G19" s="246"/>
      <c r="H19" s="251" t="s">
        <v>802</v>
      </c>
      <c r="I19" s="242">
        <f>VLOOKUP(H6,BASE!B3:JI126,266,0)</f>
        <v>0</v>
      </c>
      <c r="J19" s="243">
        <f>I19/(I19+I18)</f>
        <v>0</v>
      </c>
      <c r="K19" s="242">
        <f>VLOOKUP(H6,BASE!B3:KS126,302,0)</f>
        <v>0</v>
      </c>
      <c r="L19" s="243">
        <f>K19/E10</f>
        <v>0</v>
      </c>
    </row>
    <row r="20" spans="2:12" ht="24.75" customHeight="1">
      <c r="B20" s="235" t="s">
        <v>796</v>
      </c>
      <c r="C20" s="227">
        <f>VLOOKUP(H6,BASE!B3:JP127,275,0)</f>
        <v>1321</v>
      </c>
      <c r="D20" s="228">
        <f>C20/C10</f>
        <v>0.17279267495094833</v>
      </c>
      <c r="E20" s="70"/>
      <c r="F20" s="70"/>
      <c r="G20" s="70"/>
      <c r="H20" s="70"/>
      <c r="I20" s="70"/>
      <c r="J20" s="70"/>
      <c r="K20" s="70"/>
      <c r="L20" s="70"/>
    </row>
    <row r="21" spans="2:12" ht="24.75" customHeight="1">
      <c r="B21" s="234" t="s">
        <v>797</v>
      </c>
      <c r="C21" s="229">
        <f>VLOOKUP(H6,BASE!B3:JQ127,276,0)</f>
        <v>4527</v>
      </c>
      <c r="D21" s="230">
        <f>C21/C10</f>
        <v>0.59215173315892744</v>
      </c>
      <c r="E21" s="70"/>
      <c r="F21" s="70"/>
      <c r="G21" s="70"/>
      <c r="H21" s="346" t="s">
        <v>790</v>
      </c>
      <c r="I21" s="346"/>
      <c r="J21" s="346"/>
      <c r="K21" s="346"/>
      <c r="L21" s="346"/>
    </row>
    <row r="22" spans="2:12" ht="24.75" customHeight="1">
      <c r="B22" s="235" t="s">
        <v>798</v>
      </c>
      <c r="C22" s="227">
        <f>VLOOKUP(H6,BASE!B3:JR127,277,0)</f>
        <v>6021</v>
      </c>
      <c r="D22" s="228">
        <f>C22/C10</f>
        <v>0.78757357750163504</v>
      </c>
      <c r="E22" s="70"/>
      <c r="F22" s="70"/>
      <c r="G22" s="70"/>
      <c r="H22" s="249"/>
      <c r="I22" s="250" t="s">
        <v>771</v>
      </c>
      <c r="J22" s="250" t="s">
        <v>362</v>
      </c>
      <c r="K22" s="250" t="s">
        <v>775</v>
      </c>
      <c r="L22" s="250" t="s">
        <v>362</v>
      </c>
    </row>
    <row r="23" spans="2:12" ht="24.75" customHeight="1">
      <c r="B23" s="234" t="s">
        <v>799</v>
      </c>
      <c r="C23" s="229">
        <f>VLOOKUP(H6,BASE!B3:JS127,278,0)</f>
        <v>515</v>
      </c>
      <c r="D23" s="230">
        <f>C23/C10</f>
        <v>6.7364290385873118E-2</v>
      </c>
      <c r="E23" s="70"/>
      <c r="F23" s="70"/>
      <c r="G23" s="70"/>
      <c r="H23" s="251" t="s">
        <v>804</v>
      </c>
      <c r="I23" s="242">
        <f>VLOOKUP(H6,BASE!B3:JW126,280,0)</f>
        <v>5482</v>
      </c>
      <c r="J23" s="243">
        <f>I23/C10</f>
        <v>0.71706998037933289</v>
      </c>
      <c r="K23" s="242">
        <f>VLOOKUP(H6,BASE!B3:KN126,297,0)</f>
        <v>1166</v>
      </c>
      <c r="L23" s="243">
        <f>K23/E10</f>
        <v>4.0217991169977922E-2</v>
      </c>
    </row>
    <row r="24" spans="2:12" ht="24.75" customHeight="1">
      <c r="B24" s="235" t="s">
        <v>995</v>
      </c>
      <c r="C24" s="227">
        <f>VLOOKUP(H6,BASE!B3:JT127,279,0)</f>
        <v>843</v>
      </c>
      <c r="D24" s="228">
        <f>C24/C10</f>
        <v>0.11026814911706997</v>
      </c>
      <c r="E24" s="70"/>
      <c r="F24" s="70"/>
      <c r="G24" s="70"/>
      <c r="H24" s="251" t="s">
        <v>805</v>
      </c>
      <c r="I24" s="242">
        <f>VLOOKUP(H6,BASE!B3:JX126,281,0)</f>
        <v>1290</v>
      </c>
      <c r="J24" s="243">
        <f>I24/C10</f>
        <v>0.16873773708306083</v>
      </c>
      <c r="K24" s="242">
        <f>VLOOKUP(H6,BASE!B3:KO126,298,0)</f>
        <v>2</v>
      </c>
      <c r="L24" s="243">
        <f>K24/E10</f>
        <v>6.8984547461368653E-5</v>
      </c>
    </row>
    <row r="25" spans="2:12" ht="24.75" customHeight="1">
      <c r="B25" s="234" t="s">
        <v>800</v>
      </c>
      <c r="C25" s="229">
        <f>VLOOKUP(H6,BASE!B3:JU127,280,0)</f>
        <v>5482</v>
      </c>
      <c r="D25" s="230">
        <f>C25/C10</f>
        <v>0.71706998037933289</v>
      </c>
      <c r="E25" s="70"/>
      <c r="F25" s="70"/>
      <c r="G25" s="70"/>
      <c r="H25" s="251" t="s">
        <v>806</v>
      </c>
      <c r="I25" s="242">
        <f>VLOOKUP(H6,BASE!B3:JY126,282,0)</f>
        <v>0</v>
      </c>
      <c r="J25" s="243">
        <f>I25/C10</f>
        <v>0</v>
      </c>
      <c r="K25" s="242">
        <f>VLOOKUP(H6,BASE!B3:KP126,299,0)</f>
        <v>0</v>
      </c>
      <c r="L25" s="243">
        <f>K25/E10</f>
        <v>0</v>
      </c>
    </row>
    <row r="26" spans="2:12" ht="24.75" customHeight="1">
      <c r="B26" s="235" t="s">
        <v>801</v>
      </c>
      <c r="C26" s="227">
        <f>VLOOKUP(H6,BASE!B3:JV127,281,0)</f>
        <v>1290</v>
      </c>
      <c r="D26" s="228">
        <f>C26/C10</f>
        <v>0.16873773708306083</v>
      </c>
      <c r="E26" s="70"/>
      <c r="F26" s="70"/>
      <c r="G26" s="70"/>
      <c r="H26" s="251" t="s">
        <v>10</v>
      </c>
      <c r="I26" s="242">
        <f>VLOOKUP(H6,BASE!B3:JZ126,283,0)</f>
        <v>0</v>
      </c>
      <c r="J26" s="243">
        <f>I26/C10</f>
        <v>0</v>
      </c>
      <c r="K26" s="242">
        <f>VLOOKUP(H6,BASE!B3:KQ126,300,0)</f>
        <v>0</v>
      </c>
      <c r="L26" s="243">
        <f>K26/E10</f>
        <v>0</v>
      </c>
    </row>
  </sheetData>
  <sheetProtection algorithmName="SHA-512" hashValue="RVm+/R2g/GlfYUyNjBK8rAAcO22KJf/dCLxEZ/E0DG38XtSIUhAaiWKGW4Fw08RQmZBtbES4OVQKGK45o8XETA==" saltValue="wzv1ynLUTCmFZrSG73eyDA==" spinCount="100000" sheet="1" objects="1" scenarios="1"/>
  <mergeCells count="4">
    <mergeCell ref="B8:F8"/>
    <mergeCell ref="H16:L16"/>
    <mergeCell ref="H21:L21"/>
    <mergeCell ref="B16:D16"/>
  </mergeCells>
  <hyperlinks>
    <hyperlink ref="K4" location="PRESENTACIÓN!C6" display="INICIO" xr:uid="{00000000-0004-0000-0A00-000000000000}"/>
  </hyperlinks>
  <pageMargins left="0.43307086614173229" right="0.23622047244094491" top="0" bottom="0" header="0" footer="0"/>
  <pageSetup orientation="landscape" r:id="rId1"/>
  <ignoredErrors>
    <ignoredError sqref="K23:K26 D10 E10:E14"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B1:K29"/>
  <sheetViews>
    <sheetView zoomScaleNormal="100" workbookViewId="0">
      <selection activeCell="B37" sqref="B37"/>
    </sheetView>
  </sheetViews>
  <sheetFormatPr baseColWidth="10" defaultRowHeight="15"/>
  <cols>
    <col min="1" max="1" width="5.85546875" style="29" customWidth="1"/>
    <col min="2" max="2" width="17.28515625" style="29" customWidth="1"/>
    <col min="3" max="3" width="10.5703125" style="29" customWidth="1"/>
    <col min="4" max="4" width="8.5703125" style="29" customWidth="1"/>
    <col min="5" max="5" width="14.42578125" style="29" customWidth="1"/>
    <col min="6" max="6" width="9.85546875" style="29" customWidth="1"/>
    <col min="7" max="7" width="8.85546875" style="29" customWidth="1"/>
    <col min="8" max="16384" width="11.42578125" style="29"/>
  </cols>
  <sheetData>
    <row r="1" spans="2:11" ht="19.5" customHeight="1"/>
    <row r="2" spans="2:11" ht="19.5" customHeight="1"/>
    <row r="3" spans="2:11" ht="19.5" customHeight="1"/>
    <row r="4" spans="2:11" ht="18">
      <c r="B4" s="72" t="s">
        <v>385</v>
      </c>
      <c r="C4" s="70"/>
      <c r="D4" s="70"/>
      <c r="E4" s="70"/>
      <c r="F4" s="70"/>
      <c r="G4" s="70"/>
      <c r="H4" s="70"/>
      <c r="I4" s="70"/>
      <c r="J4" s="70"/>
      <c r="K4" s="76" t="s">
        <v>953</v>
      </c>
    </row>
    <row r="5" spans="2:11" ht="15.75">
      <c r="B5" s="77" t="s">
        <v>387</v>
      </c>
      <c r="C5" s="70"/>
      <c r="D5" s="70"/>
      <c r="E5" s="70"/>
      <c r="F5" s="70"/>
      <c r="G5" s="70"/>
      <c r="H5" s="70"/>
      <c r="I5" s="70"/>
      <c r="J5" s="70"/>
      <c r="K5" s="70"/>
    </row>
    <row r="6" spans="2:11" ht="22.5" customHeight="1">
      <c r="B6" s="117" t="s">
        <v>594</v>
      </c>
      <c r="C6" s="70"/>
      <c r="D6" s="70"/>
      <c r="E6" s="70"/>
      <c r="F6" s="70"/>
      <c r="G6" s="252" t="s">
        <v>9</v>
      </c>
      <c r="H6" s="253" t="str">
        <f>VLOOKUP('POBLACIÓN TOTAL'!J6,BASE!B3:B127,1,0)</f>
        <v>Villa Comaltitlán</v>
      </c>
      <c r="I6" s="223"/>
      <c r="J6" s="223"/>
      <c r="K6" s="223"/>
    </row>
    <row r="7" spans="2:11" ht="21.75" customHeight="1">
      <c r="B7" s="70"/>
      <c r="C7" s="70"/>
      <c r="D7" s="70"/>
      <c r="E7" s="70"/>
      <c r="F7" s="70"/>
      <c r="G7" s="70"/>
      <c r="H7" s="70"/>
      <c r="I7" s="70"/>
      <c r="J7" s="70"/>
      <c r="K7" s="70"/>
    </row>
    <row r="8" spans="2:11" ht="30" customHeight="1">
      <c r="B8" s="348" t="s">
        <v>825</v>
      </c>
      <c r="C8" s="348"/>
      <c r="D8" s="348"/>
      <c r="E8" s="348"/>
      <c r="F8" s="348"/>
      <c r="G8" s="348"/>
      <c r="H8" s="70"/>
      <c r="I8" s="70"/>
      <c r="J8" s="70"/>
      <c r="K8" s="70"/>
    </row>
    <row r="9" spans="2:11">
      <c r="B9" s="337" t="s">
        <v>11</v>
      </c>
      <c r="C9" s="245" t="s">
        <v>771</v>
      </c>
      <c r="D9" s="245" t="s">
        <v>362</v>
      </c>
      <c r="E9" s="337" t="s">
        <v>11</v>
      </c>
      <c r="F9" s="245" t="s">
        <v>771</v>
      </c>
      <c r="G9" s="245" t="s">
        <v>362</v>
      </c>
      <c r="H9" s="70"/>
      <c r="I9" s="70"/>
      <c r="J9" s="70"/>
      <c r="K9" s="70"/>
    </row>
    <row r="10" spans="2:11">
      <c r="B10" s="338"/>
      <c r="C10" s="229">
        <f>SUM(C11:C19)</f>
        <v>7645</v>
      </c>
      <c r="D10" s="230">
        <f>C10/C10</f>
        <v>1</v>
      </c>
      <c r="E10" s="338"/>
      <c r="F10" s="229">
        <f>SUM(F11:F19)</f>
        <v>7644</v>
      </c>
      <c r="G10" s="230">
        <f>F10/F10</f>
        <v>1</v>
      </c>
      <c r="H10" s="70"/>
      <c r="I10" s="70"/>
      <c r="J10" s="70"/>
      <c r="K10" s="70"/>
    </row>
    <row r="11" spans="2:11">
      <c r="B11" s="235" t="s">
        <v>826</v>
      </c>
      <c r="C11" s="227">
        <f>VLOOKUP(H6,BASE!B3:IA127,234,0)</f>
        <v>866</v>
      </c>
      <c r="D11" s="228">
        <f>C11/C10</f>
        <v>0.11327665140614782</v>
      </c>
      <c r="E11" s="235" t="s">
        <v>843</v>
      </c>
      <c r="F11" s="227">
        <f>VLOOKUP(H6,BASE!B3:IJ127,243,0)</f>
        <v>1222</v>
      </c>
      <c r="G11" s="228">
        <f>F11/F10</f>
        <v>0.1598639455782313</v>
      </c>
      <c r="H11" s="70"/>
      <c r="I11" s="70"/>
      <c r="J11" s="70"/>
      <c r="K11" s="70"/>
    </row>
    <row r="12" spans="2:11">
      <c r="B12" s="234" t="s">
        <v>827</v>
      </c>
      <c r="C12" s="229">
        <f>VLOOKUP(H6,BASE!B3:IB127,235,0)</f>
        <v>1281</v>
      </c>
      <c r="D12" s="230">
        <f>C12/C10</f>
        <v>0.16756049705689993</v>
      </c>
      <c r="E12" s="234" t="s">
        <v>835</v>
      </c>
      <c r="F12" s="229">
        <f>VLOOKUP(H6,BASE!B3:IK127,244,0)</f>
        <v>2319</v>
      </c>
      <c r="G12" s="230">
        <f>F12/F10</f>
        <v>0.30337519623233911</v>
      </c>
      <c r="H12" s="70"/>
      <c r="I12" s="70"/>
      <c r="J12" s="70"/>
      <c r="K12" s="70"/>
    </row>
    <row r="13" spans="2:11">
      <c r="B13" s="235" t="s">
        <v>828</v>
      </c>
      <c r="C13" s="227">
        <f>VLOOKUP(H6,BASE!B3:IC127,236,0)</f>
        <v>1509</v>
      </c>
      <c r="D13" s="228">
        <f>C13/C10</f>
        <v>0.19738391105297581</v>
      </c>
      <c r="E13" s="235" t="s">
        <v>836</v>
      </c>
      <c r="F13" s="227">
        <f>VLOOKUP(H6,BASE!B3:IL127,245,0)</f>
        <v>2105</v>
      </c>
      <c r="G13" s="228">
        <f>F13/F10</f>
        <v>0.27537938252223965</v>
      </c>
      <c r="H13" s="70"/>
      <c r="I13" s="70"/>
      <c r="J13" s="70"/>
      <c r="K13" s="70"/>
    </row>
    <row r="14" spans="2:11">
      <c r="B14" s="234" t="s">
        <v>829</v>
      </c>
      <c r="C14" s="229">
        <f>VLOOKUP(H6,BASE!B3:ID127,237,0)</f>
        <v>1546</v>
      </c>
      <c r="D14" s="230">
        <f>C14/C10</f>
        <v>0.20222367560497057</v>
      </c>
      <c r="E14" s="234" t="s">
        <v>837</v>
      </c>
      <c r="F14" s="229">
        <f>VLOOKUP(H6,BASE!B3:IM127,246,0)</f>
        <v>1255</v>
      </c>
      <c r="G14" s="230">
        <f>F14/F10</f>
        <v>0.16418105703819991</v>
      </c>
      <c r="H14" s="70"/>
      <c r="I14" s="70"/>
      <c r="J14" s="70"/>
      <c r="K14" s="70"/>
    </row>
    <row r="15" spans="2:11">
      <c r="B15" s="235" t="s">
        <v>830</v>
      </c>
      <c r="C15" s="227">
        <f>VLOOKUP(H6,BASE!B3:IE127,238,0)</f>
        <v>1154</v>
      </c>
      <c r="D15" s="228">
        <f>C15/C10</f>
        <v>0.15094833224329626</v>
      </c>
      <c r="E15" s="235" t="s">
        <v>838</v>
      </c>
      <c r="F15" s="227">
        <f>VLOOKUP(H6,BASE!B3:IN127,247,0)</f>
        <v>515</v>
      </c>
      <c r="G15" s="228">
        <f>F15/F10</f>
        <v>6.7373103087388808E-2</v>
      </c>
      <c r="H15" s="70"/>
      <c r="I15" s="70"/>
      <c r="J15" s="70"/>
      <c r="K15" s="70"/>
    </row>
    <row r="16" spans="2:11">
      <c r="B16" s="234" t="s">
        <v>831</v>
      </c>
      <c r="C16" s="229">
        <f>VLOOKUP(H6,BASE!B3:IF127,239,0)</f>
        <v>632</v>
      </c>
      <c r="D16" s="230">
        <f>C16/C10</f>
        <v>8.2668410725964689E-2</v>
      </c>
      <c r="E16" s="234" t="s">
        <v>839</v>
      </c>
      <c r="F16" s="229">
        <f>VLOOKUP(H6,BASE!B3:IO127,248,0)</f>
        <v>164</v>
      </c>
      <c r="G16" s="230">
        <f>F16/F10</f>
        <v>2.1454735740450027E-2</v>
      </c>
      <c r="H16" s="70"/>
      <c r="I16" s="70"/>
      <c r="J16" s="70"/>
      <c r="K16" s="70"/>
    </row>
    <row r="17" spans="2:11">
      <c r="B17" s="235" t="s">
        <v>832</v>
      </c>
      <c r="C17" s="227">
        <f>VLOOKUP(H6,BASE!B3:IG127,240,0)</f>
        <v>328</v>
      </c>
      <c r="D17" s="228">
        <f>C17/C10</f>
        <v>4.2903858731196863E-2</v>
      </c>
      <c r="E17" s="235" t="s">
        <v>840</v>
      </c>
      <c r="F17" s="227">
        <f>VLOOKUP(H6,BASE!B3:IP127,249,0)</f>
        <v>38</v>
      </c>
      <c r="G17" s="228">
        <f>F17/F10</f>
        <v>4.9712192569335428E-3</v>
      </c>
      <c r="H17" s="70"/>
      <c r="I17" s="70"/>
      <c r="J17" s="70"/>
      <c r="K17" s="70"/>
    </row>
    <row r="18" spans="2:11">
      <c r="B18" s="234" t="s">
        <v>833</v>
      </c>
      <c r="C18" s="229">
        <f>VLOOKUP(H6,BASE!B3:IH127,241,0)</f>
        <v>174</v>
      </c>
      <c r="D18" s="230">
        <f>C18/C10</f>
        <v>2.275997383911053E-2</v>
      </c>
      <c r="E18" s="234" t="s">
        <v>841</v>
      </c>
      <c r="F18" s="229">
        <f>VLOOKUP(H6,BASE!B3:IQ127,250,0)</f>
        <v>17</v>
      </c>
      <c r="G18" s="230">
        <f>F18/F10</f>
        <v>2.2239665096807954E-3</v>
      </c>
      <c r="H18" s="70"/>
      <c r="I18" s="70"/>
      <c r="J18" s="70"/>
      <c r="K18" s="70"/>
    </row>
    <row r="19" spans="2:11" ht="24" customHeight="1">
      <c r="B19" s="235" t="s">
        <v>834</v>
      </c>
      <c r="C19" s="227">
        <f>VLOOKUP(H6,BASE!B3:II127,242,0)</f>
        <v>155</v>
      </c>
      <c r="D19" s="228">
        <f>C19/C10</f>
        <v>2.0274689339437543E-2</v>
      </c>
      <c r="E19" s="235" t="s">
        <v>842</v>
      </c>
      <c r="F19" s="227">
        <f>VLOOKUP(H6,BASE!B3:IR127,251,0)</f>
        <v>9</v>
      </c>
      <c r="G19" s="228">
        <f>F19/F10</f>
        <v>1.1773940345368916E-3</v>
      </c>
      <c r="H19" s="70"/>
      <c r="I19" s="70"/>
      <c r="J19" s="70"/>
      <c r="K19" s="70"/>
    </row>
    <row r="20" spans="2:11">
      <c r="B20" s="70"/>
      <c r="C20" s="70"/>
      <c r="D20" s="70"/>
      <c r="E20" s="70"/>
      <c r="F20" s="70"/>
      <c r="G20" s="70"/>
      <c r="H20" s="70"/>
      <c r="I20" s="70"/>
      <c r="J20" s="70"/>
      <c r="K20" s="70"/>
    </row>
    <row r="21" spans="2:11">
      <c r="B21" s="70"/>
      <c r="C21" s="70"/>
      <c r="D21" s="70"/>
      <c r="E21" s="70"/>
      <c r="F21" s="70"/>
      <c r="G21" s="70"/>
      <c r="H21" s="70"/>
      <c r="I21" s="70"/>
      <c r="J21" s="70"/>
      <c r="K21" s="70"/>
    </row>
    <row r="22" spans="2:11" ht="25.5" customHeight="1">
      <c r="B22" s="349" t="s">
        <v>863</v>
      </c>
      <c r="C22" s="349"/>
      <c r="D22" s="349"/>
      <c r="E22" s="254"/>
      <c r="F22" s="254"/>
      <c r="G22" s="70"/>
      <c r="H22" s="70"/>
      <c r="I22" s="70"/>
      <c r="J22" s="70"/>
      <c r="K22" s="70"/>
    </row>
    <row r="23" spans="2:11">
      <c r="B23" s="244"/>
      <c r="C23" s="245" t="s">
        <v>771</v>
      </c>
      <c r="D23" s="245" t="s">
        <v>362</v>
      </c>
      <c r="E23" s="246"/>
      <c r="F23" s="246"/>
      <c r="G23" s="70"/>
      <c r="H23" s="70"/>
      <c r="I23" s="70"/>
      <c r="J23" s="70"/>
      <c r="K23" s="70"/>
    </row>
    <row r="24" spans="2:11">
      <c r="B24" s="255" t="s">
        <v>11</v>
      </c>
      <c r="C24" s="227">
        <f>SUM(C25:C29)</f>
        <v>7644</v>
      </c>
      <c r="D24" s="228">
        <f>C24/C24</f>
        <v>1</v>
      </c>
      <c r="E24" s="246"/>
      <c r="F24" s="246"/>
      <c r="G24" s="70"/>
      <c r="H24" s="70"/>
      <c r="I24" s="70"/>
      <c r="J24" s="70"/>
      <c r="K24" s="70"/>
    </row>
    <row r="25" spans="2:11">
      <c r="B25" s="234" t="s">
        <v>853</v>
      </c>
      <c r="C25" s="229">
        <f>VLOOKUP(H6,BASE!B3:IS127,252,0)</f>
        <v>3866</v>
      </c>
      <c r="D25" s="230">
        <f>C25/C24</f>
        <v>0.50575614861329143</v>
      </c>
      <c r="E25" s="246"/>
      <c r="F25" s="246"/>
      <c r="G25" s="70"/>
      <c r="H25" s="70"/>
      <c r="I25" s="70"/>
      <c r="J25" s="70"/>
      <c r="K25" s="70"/>
    </row>
    <row r="26" spans="2:11">
      <c r="B26" s="235" t="s">
        <v>854</v>
      </c>
      <c r="C26" s="227">
        <f>VLOOKUP(H6,BASE!B3:IT127,253,0)</f>
        <v>2665</v>
      </c>
      <c r="D26" s="228">
        <f>C26/C24</f>
        <v>0.34863945578231292</v>
      </c>
      <c r="E26" s="246"/>
      <c r="F26" s="246"/>
      <c r="G26" s="70"/>
      <c r="H26" s="70"/>
      <c r="I26" s="70"/>
      <c r="J26" s="70"/>
      <c r="K26" s="70"/>
    </row>
    <row r="27" spans="2:11">
      <c r="B27" s="234" t="s">
        <v>855</v>
      </c>
      <c r="C27" s="229">
        <f>VLOOKUP(H6,BASE!B3:IU127,254,0)</f>
        <v>884</v>
      </c>
      <c r="D27" s="230">
        <f>C27/C24</f>
        <v>0.11564625850340136</v>
      </c>
      <c r="E27" s="246"/>
      <c r="F27" s="246"/>
      <c r="G27" s="70"/>
      <c r="H27" s="70"/>
      <c r="I27" s="70"/>
      <c r="J27" s="70"/>
      <c r="K27" s="70"/>
    </row>
    <row r="28" spans="2:11">
      <c r="B28" s="235" t="s">
        <v>856</v>
      </c>
      <c r="C28" s="227">
        <f>VLOOKUP(H6,BASE!B3:IV127,255,0)</f>
        <v>205</v>
      </c>
      <c r="D28" s="228">
        <f>C28/C24</f>
        <v>2.6818419675562533E-2</v>
      </c>
      <c r="E28" s="246"/>
      <c r="F28" s="246"/>
      <c r="G28" s="70"/>
      <c r="H28" s="70"/>
      <c r="I28" s="70"/>
      <c r="J28" s="70"/>
      <c r="K28" s="70"/>
    </row>
    <row r="29" spans="2:11">
      <c r="B29" s="234" t="s">
        <v>857</v>
      </c>
      <c r="C29" s="229">
        <f>VLOOKUP(H6,BASE!B3:IW127,256,0)</f>
        <v>24</v>
      </c>
      <c r="D29" s="230">
        <f>C29/C24</f>
        <v>3.1397174254317113E-3</v>
      </c>
      <c r="E29" s="246"/>
      <c r="F29" s="246"/>
      <c r="G29" s="70"/>
      <c r="H29" s="70"/>
      <c r="I29" s="70"/>
      <c r="J29" s="70"/>
      <c r="K29" s="70"/>
    </row>
  </sheetData>
  <sheetProtection algorithmName="SHA-512" hashValue="pTDAm6zuRrX6C4RlAO/JybqL7nEUEgdCjs7fPFxZsL/YAADiMXZSbqXRw3KV8h8q8MZld7R+XtWTgjml/HhqZw==" saltValue="JseP/4susdYr67/g/tkIjQ==" spinCount="100000" sheet="1" objects="1" scenarios="1"/>
  <mergeCells count="4">
    <mergeCell ref="E9:E10"/>
    <mergeCell ref="B9:B10"/>
    <mergeCell ref="B8:G8"/>
    <mergeCell ref="B22:D22"/>
  </mergeCells>
  <hyperlinks>
    <hyperlink ref="K4" location="PRESENTACIÓN!C6" display="INICIO" xr:uid="{00000000-0004-0000-0B00-000000000000}"/>
  </hyperlinks>
  <pageMargins left="0.43307086614173229" right="0.23622047244094491" top="0" bottom="0" header="0" footer="0"/>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MR127"/>
  <sheetViews>
    <sheetView workbookViewId="0">
      <pane xSplit="2" ySplit="2" topLeftCell="IA3" activePane="bottomRight" state="frozen"/>
      <selection activeCell="P36" sqref="P36"/>
      <selection pane="topRight" activeCell="P36" sqref="P36"/>
      <selection pane="bottomLeft" activeCell="P36" sqref="P36"/>
      <selection pane="bottomRight" activeCell="P36" sqref="P36"/>
    </sheetView>
  </sheetViews>
  <sheetFormatPr baseColWidth="10" defaultRowHeight="15"/>
  <cols>
    <col min="2" max="2" width="26.5703125" bestFit="1" customWidth="1"/>
    <col min="3" max="5" width="13" bestFit="1" customWidth="1"/>
    <col min="49" max="49" width="11.85546875" bestFit="1" customWidth="1"/>
    <col min="209" max="209" width="11.85546875" bestFit="1" customWidth="1"/>
    <col min="224" max="224" width="11.85546875" bestFit="1" customWidth="1"/>
    <col min="235" max="235" width="11.85546875" bestFit="1" customWidth="1"/>
  </cols>
  <sheetData>
    <row r="1" spans="1:356" ht="75">
      <c r="C1" s="3" t="s">
        <v>287</v>
      </c>
      <c r="D1" s="3" t="s">
        <v>290</v>
      </c>
      <c r="E1" s="3" t="s">
        <v>291</v>
      </c>
      <c r="F1" s="3" t="s">
        <v>294</v>
      </c>
      <c r="G1" s="3" t="s">
        <v>295</v>
      </c>
      <c r="H1" s="3" t="s">
        <v>299</v>
      </c>
      <c r="I1" s="3" t="s">
        <v>300</v>
      </c>
      <c r="J1" s="3" t="s">
        <v>303</v>
      </c>
      <c r="K1" s="3" t="s">
        <v>304</v>
      </c>
      <c r="L1" s="3" t="s">
        <v>358</v>
      </c>
      <c r="M1" s="3" t="s">
        <v>357</v>
      </c>
      <c r="N1" s="3" t="s">
        <v>356</v>
      </c>
      <c r="O1" s="3" t="s">
        <v>355</v>
      </c>
      <c r="P1" s="3" t="s">
        <v>354</v>
      </c>
      <c r="Q1" s="3" t="s">
        <v>353</v>
      </c>
      <c r="R1" s="3" t="s">
        <v>352</v>
      </c>
      <c r="S1" s="3" t="s">
        <v>351</v>
      </c>
      <c r="T1" s="3" t="s">
        <v>350</v>
      </c>
      <c r="U1" s="3" t="s">
        <v>349</v>
      </c>
      <c r="V1" s="3" t="s">
        <v>348</v>
      </c>
      <c r="W1" s="3" t="s">
        <v>347</v>
      </c>
      <c r="X1" s="3" t="s">
        <v>346</v>
      </c>
      <c r="Y1" s="3" t="s">
        <v>345</v>
      </c>
      <c r="Z1" s="3" t="s">
        <v>392</v>
      </c>
      <c r="AA1" s="3" t="s">
        <v>344</v>
      </c>
      <c r="AB1" s="3" t="s">
        <v>343</v>
      </c>
      <c r="AC1" s="3" t="s">
        <v>342</v>
      </c>
      <c r="AD1" s="3" t="s">
        <v>341</v>
      </c>
      <c r="AE1" s="3" t="s">
        <v>340</v>
      </c>
      <c r="AF1" s="3" t="s">
        <v>339</v>
      </c>
      <c r="AG1" s="3" t="s">
        <v>338</v>
      </c>
      <c r="AH1" s="3" t="s">
        <v>337</v>
      </c>
      <c r="AI1" s="3" t="s">
        <v>336</v>
      </c>
      <c r="AJ1" s="3" t="s">
        <v>335</v>
      </c>
      <c r="AK1" s="3" t="s">
        <v>334</v>
      </c>
      <c r="AL1" s="3" t="s">
        <v>333</v>
      </c>
      <c r="AM1" s="3" t="s">
        <v>332</v>
      </c>
      <c r="AN1" s="3" t="s">
        <v>416</v>
      </c>
      <c r="AO1" s="3" t="s">
        <v>415</v>
      </c>
      <c r="AP1" s="46" t="s">
        <v>413</v>
      </c>
      <c r="AQ1" s="46" t="s">
        <v>411</v>
      </c>
      <c r="AR1" s="46" t="s">
        <v>409</v>
      </c>
      <c r="AS1" s="46" t="s">
        <v>406</v>
      </c>
      <c r="AT1" s="46" t="s">
        <v>404</v>
      </c>
      <c r="AU1" s="10" t="s">
        <v>403</v>
      </c>
      <c r="AV1" s="3" t="s">
        <v>402</v>
      </c>
      <c r="AW1" s="3" t="s">
        <v>401</v>
      </c>
      <c r="AX1" s="46" t="s">
        <v>400</v>
      </c>
      <c r="AY1" s="46" t="s">
        <v>399</v>
      </c>
      <c r="AZ1" s="10" t="s">
        <v>962</v>
      </c>
      <c r="BA1" s="10" t="s">
        <v>965</v>
      </c>
      <c r="BB1" s="46" t="s">
        <v>966</v>
      </c>
      <c r="BC1" s="46" t="s">
        <v>421</v>
      </c>
      <c r="BD1" s="46" t="s">
        <v>422</v>
      </c>
      <c r="BE1" s="46" t="s">
        <v>424</v>
      </c>
      <c r="BF1" s="46" t="s">
        <v>426</v>
      </c>
      <c r="BG1" s="46" t="s">
        <v>428</v>
      </c>
      <c r="BH1" s="46" t="s">
        <v>430</v>
      </c>
      <c r="BI1" s="46" t="s">
        <v>432</v>
      </c>
      <c r="BJ1" s="46" t="s">
        <v>434</v>
      </c>
      <c r="BK1" s="46" t="s">
        <v>436</v>
      </c>
      <c r="BL1" s="46" t="s">
        <v>438</v>
      </c>
      <c r="BM1" s="46" t="s">
        <v>440</v>
      </c>
      <c r="BN1" s="46" t="s">
        <v>442</v>
      </c>
      <c r="BO1" s="46" t="s">
        <v>444</v>
      </c>
      <c r="BP1" s="46" t="s">
        <v>446</v>
      </c>
      <c r="BQ1" s="46" t="s">
        <v>450</v>
      </c>
      <c r="BR1" s="46" t="s">
        <v>452</v>
      </c>
      <c r="BS1" s="46" t="s">
        <v>448</v>
      </c>
      <c r="BT1" s="46" t="s">
        <v>454</v>
      </c>
      <c r="BU1" s="46" t="s">
        <v>456</v>
      </c>
      <c r="BV1" s="46" t="s">
        <v>458</v>
      </c>
      <c r="BW1" s="46" t="s">
        <v>460</v>
      </c>
      <c r="BX1" s="46" t="s">
        <v>462</v>
      </c>
      <c r="BY1" s="46" t="s">
        <v>464</v>
      </c>
      <c r="BZ1" s="46" t="s">
        <v>466</v>
      </c>
      <c r="CA1" s="46" t="s">
        <v>468</v>
      </c>
      <c r="CB1" s="46" t="s">
        <v>470</v>
      </c>
      <c r="CC1" s="46" t="s">
        <v>473</v>
      </c>
      <c r="CD1" s="10" t="s">
        <v>475</v>
      </c>
      <c r="CE1" s="10" t="s">
        <v>476</v>
      </c>
      <c r="CF1" s="10" t="s">
        <v>477</v>
      </c>
      <c r="CG1" s="10" t="s">
        <v>478</v>
      </c>
      <c r="CH1" s="13" t="s">
        <v>500</v>
      </c>
      <c r="CI1" s="13" t="s">
        <v>501</v>
      </c>
      <c r="CJ1" s="46" t="s">
        <v>504</v>
      </c>
      <c r="CK1" s="46" t="s">
        <v>506</v>
      </c>
      <c r="CL1" s="13" t="s">
        <v>509</v>
      </c>
      <c r="CM1" s="13" t="s">
        <v>512</v>
      </c>
      <c r="CN1" s="13" t="s">
        <v>514</v>
      </c>
      <c r="CO1" s="13" t="s">
        <v>516</v>
      </c>
      <c r="CP1" s="13" t="s">
        <v>518</v>
      </c>
      <c r="CQ1" s="13" t="s">
        <v>520</v>
      </c>
      <c r="CR1" s="46" t="s">
        <v>522</v>
      </c>
      <c r="CS1" s="46" t="s">
        <v>523</v>
      </c>
      <c r="CT1" s="46" t="s">
        <v>525</v>
      </c>
      <c r="CU1" s="46" t="s">
        <v>527</v>
      </c>
      <c r="CV1" s="46" t="s">
        <v>529</v>
      </c>
      <c r="CW1" s="46" t="s">
        <v>531</v>
      </c>
      <c r="CX1" s="46" t="s">
        <v>534</v>
      </c>
      <c r="CY1" s="47" t="s">
        <v>535</v>
      </c>
      <c r="CZ1" s="47" t="s">
        <v>537</v>
      </c>
      <c r="DA1" s="47" t="s">
        <v>539</v>
      </c>
      <c r="DB1" s="47" t="s">
        <v>541</v>
      </c>
      <c r="DC1" s="47" t="s">
        <v>543</v>
      </c>
      <c r="DD1" s="21" t="s">
        <v>1039</v>
      </c>
      <c r="DE1" s="21" t="s">
        <v>1046</v>
      </c>
      <c r="DF1" s="21" t="s">
        <v>567</v>
      </c>
      <c r="DG1" s="21" t="s">
        <v>569</v>
      </c>
      <c r="DH1" s="21" t="s">
        <v>571</v>
      </c>
      <c r="DI1" s="21" t="s">
        <v>573</v>
      </c>
      <c r="DJ1" s="21" t="s">
        <v>575</v>
      </c>
      <c r="DK1" s="21" t="s">
        <v>577</v>
      </c>
      <c r="DL1" s="21" t="s">
        <v>579</v>
      </c>
      <c r="DM1" s="47" t="s">
        <v>1041</v>
      </c>
      <c r="DN1" s="47" t="s">
        <v>1043</v>
      </c>
      <c r="DO1" s="47" t="s">
        <v>581</v>
      </c>
      <c r="DP1" s="47" t="s">
        <v>583</v>
      </c>
      <c r="DQ1" s="47" t="s">
        <v>585</v>
      </c>
      <c r="DR1" s="47" t="s">
        <v>586</v>
      </c>
      <c r="DS1" s="47" t="s">
        <v>588</v>
      </c>
      <c r="DT1" s="47" t="s">
        <v>590</v>
      </c>
      <c r="DU1" s="47" t="s">
        <v>592</v>
      </c>
      <c r="DV1" s="48" t="s">
        <v>601</v>
      </c>
      <c r="DW1" s="48" t="s">
        <v>602</v>
      </c>
      <c r="DX1" s="48" t="s">
        <v>605</v>
      </c>
      <c r="DY1" s="48" t="s">
        <v>607</v>
      </c>
      <c r="DZ1" s="48" t="s">
        <v>609</v>
      </c>
      <c r="EA1" s="48" t="s">
        <v>613</v>
      </c>
      <c r="EB1" s="48" t="s">
        <v>615</v>
      </c>
      <c r="EC1" s="48" t="s">
        <v>611</v>
      </c>
      <c r="ED1" s="48" t="s">
        <v>978</v>
      </c>
      <c r="EE1" s="48" t="s">
        <v>979</v>
      </c>
      <c r="EF1" s="48" t="s">
        <v>971</v>
      </c>
      <c r="EG1" s="48" t="s">
        <v>972</v>
      </c>
      <c r="EH1" s="48" t="s">
        <v>617</v>
      </c>
      <c r="EI1" s="48" t="s">
        <v>619</v>
      </c>
      <c r="EJ1" s="23" t="s">
        <v>637</v>
      </c>
      <c r="EK1" s="23" t="s">
        <v>629</v>
      </c>
      <c r="EL1" s="23" t="s">
        <v>630</v>
      </c>
      <c r="EM1" s="23" t="s">
        <v>631</v>
      </c>
      <c r="EN1" s="23" t="s">
        <v>981</v>
      </c>
      <c r="EO1" s="23" t="s">
        <v>983</v>
      </c>
      <c r="EP1" s="23" t="s">
        <v>632</v>
      </c>
      <c r="EQ1" s="47" t="s">
        <v>640</v>
      </c>
      <c r="ER1" s="47" t="s">
        <v>641</v>
      </c>
      <c r="ES1" s="47" t="s">
        <v>642</v>
      </c>
      <c r="ET1" s="47" t="s">
        <v>643</v>
      </c>
      <c r="EU1" s="47" t="s">
        <v>644</v>
      </c>
      <c r="EV1" s="47" t="s">
        <v>645</v>
      </c>
      <c r="EW1" s="47" t="s">
        <v>646</v>
      </c>
      <c r="EX1" s="47" t="s">
        <v>647</v>
      </c>
      <c r="EY1" s="49" t="s">
        <v>680</v>
      </c>
      <c r="EZ1" s="49" t="s">
        <v>681</v>
      </c>
      <c r="FA1" s="49" t="s">
        <v>682</v>
      </c>
      <c r="FB1" s="49" t="s">
        <v>683</v>
      </c>
      <c r="FC1" s="49" t="s">
        <v>684</v>
      </c>
      <c r="FD1" s="48" t="s">
        <v>686</v>
      </c>
      <c r="FE1" s="48" t="s">
        <v>687</v>
      </c>
      <c r="FF1" s="48" t="s">
        <v>688</v>
      </c>
      <c r="FG1" s="48" t="s">
        <v>689</v>
      </c>
      <c r="FH1" s="48" t="s">
        <v>690</v>
      </c>
      <c r="FI1" s="48" t="s">
        <v>692</v>
      </c>
      <c r="FJ1" s="48" t="s">
        <v>691</v>
      </c>
      <c r="FK1" s="49" t="s">
        <v>700</v>
      </c>
      <c r="FL1" s="49" t="s">
        <v>701</v>
      </c>
      <c r="FM1" s="49" t="s">
        <v>702</v>
      </c>
      <c r="FN1" s="49" t="s">
        <v>703</v>
      </c>
      <c r="FO1" s="47" t="s">
        <v>722</v>
      </c>
      <c r="FP1" s="47" t="s">
        <v>723</v>
      </c>
      <c r="FQ1" s="47" t="s">
        <v>716</v>
      </c>
      <c r="FR1" s="47" t="s">
        <v>717</v>
      </c>
      <c r="FS1" s="47" t="s">
        <v>718</v>
      </c>
      <c r="FT1" s="47" t="s">
        <v>719</v>
      </c>
      <c r="FU1" s="47" t="s">
        <v>720</v>
      </c>
      <c r="FV1" s="47" t="s">
        <v>721</v>
      </c>
      <c r="FW1" s="47" t="s">
        <v>724</v>
      </c>
      <c r="FX1" s="47" t="s">
        <v>990</v>
      </c>
      <c r="FY1" s="23" t="s">
        <v>725</v>
      </c>
      <c r="FZ1" s="23" t="s">
        <v>726</v>
      </c>
      <c r="GA1" s="23" t="s">
        <v>727</v>
      </c>
      <c r="GB1" s="23" t="s">
        <v>728</v>
      </c>
      <c r="GC1" s="23" t="s">
        <v>729</v>
      </c>
      <c r="GD1" s="23" t="s">
        <v>730</v>
      </c>
      <c r="GE1" s="23" t="s">
        <v>731</v>
      </c>
      <c r="GF1" s="23" t="s">
        <v>732</v>
      </c>
      <c r="GG1" s="23" t="s">
        <v>733</v>
      </c>
      <c r="GH1" s="23" t="s">
        <v>734</v>
      </c>
      <c r="GI1" s="47" t="s">
        <v>770</v>
      </c>
      <c r="GJ1" s="47" t="s">
        <v>769</v>
      </c>
      <c r="GK1" s="47" t="s">
        <v>768</v>
      </c>
      <c r="GL1" s="47" t="s">
        <v>767</v>
      </c>
      <c r="GM1" s="47" t="s">
        <v>766</v>
      </c>
      <c r="GN1" s="47" t="s">
        <v>765</v>
      </c>
      <c r="GO1" s="47" t="s">
        <v>764</v>
      </c>
      <c r="GP1" s="47" t="s">
        <v>763</v>
      </c>
      <c r="GQ1" s="47" t="s">
        <v>762</v>
      </c>
      <c r="GR1" s="47" t="s">
        <v>761</v>
      </c>
      <c r="GS1" s="47" t="s">
        <v>760</v>
      </c>
      <c r="GT1" s="47" t="s">
        <v>759</v>
      </c>
      <c r="GU1" s="47" t="s">
        <v>758</v>
      </c>
      <c r="GV1" s="47" t="s">
        <v>757</v>
      </c>
      <c r="GW1" s="47" t="s">
        <v>756</v>
      </c>
      <c r="GX1" s="47" t="s">
        <v>755</v>
      </c>
      <c r="GY1" s="47" t="s">
        <v>754</v>
      </c>
      <c r="GZ1" s="47" t="s">
        <v>753</v>
      </c>
      <c r="HA1" s="23" t="s">
        <v>752</v>
      </c>
      <c r="HB1" s="23" t="s">
        <v>751</v>
      </c>
      <c r="HC1" s="23" t="s">
        <v>750</v>
      </c>
      <c r="HD1" s="23" t="s">
        <v>749</v>
      </c>
      <c r="HE1" s="23" t="s">
        <v>748</v>
      </c>
      <c r="HF1" s="23" t="s">
        <v>747</v>
      </c>
      <c r="HG1" s="23" t="s">
        <v>746</v>
      </c>
      <c r="HH1" s="23" t="s">
        <v>745</v>
      </c>
      <c r="HI1" s="23" t="s">
        <v>744</v>
      </c>
      <c r="HJ1" s="23" t="s">
        <v>743</v>
      </c>
      <c r="HK1" s="23" t="s">
        <v>742</v>
      </c>
      <c r="HL1" s="23" t="s">
        <v>741</v>
      </c>
      <c r="HM1" s="23" t="s">
        <v>740</v>
      </c>
      <c r="HN1" s="23" t="s">
        <v>739</v>
      </c>
      <c r="HO1" s="23" t="s">
        <v>738</v>
      </c>
      <c r="HP1" s="23" t="s">
        <v>737</v>
      </c>
      <c r="HQ1" s="23" t="s">
        <v>736</v>
      </c>
      <c r="HR1" s="23" t="s">
        <v>735</v>
      </c>
      <c r="IA1" s="3"/>
      <c r="IB1" s="3"/>
      <c r="IC1" s="3"/>
      <c r="ID1" s="3"/>
      <c r="IE1" s="3"/>
      <c r="IF1" s="3"/>
      <c r="IG1" s="3"/>
      <c r="IH1" s="3"/>
      <c r="II1" s="3"/>
      <c r="MD1" s="350" t="s">
        <v>1032</v>
      </c>
      <c r="ME1" s="350"/>
      <c r="MF1" s="350"/>
      <c r="MG1" s="350"/>
      <c r="MH1" s="350"/>
      <c r="MI1" s="350"/>
      <c r="MJ1" s="350"/>
      <c r="MK1" s="350"/>
      <c r="ML1" s="350"/>
      <c r="MM1" s="350"/>
      <c r="MN1" s="350"/>
      <c r="MO1" s="350"/>
      <c r="MP1" s="350"/>
      <c r="MQ1" s="350"/>
      <c r="MR1" s="350"/>
    </row>
    <row r="2" spans="1:356" ht="120">
      <c r="A2" t="s">
        <v>37</v>
      </c>
      <c r="B2" t="s">
        <v>38</v>
      </c>
      <c r="C2" s="45" t="s">
        <v>288</v>
      </c>
      <c r="D2" s="45" t="s">
        <v>289</v>
      </c>
      <c r="E2" s="45" t="s">
        <v>292</v>
      </c>
      <c r="F2" t="s">
        <v>293</v>
      </c>
      <c r="G2" t="s">
        <v>296</v>
      </c>
      <c r="H2" s="45" t="s">
        <v>297</v>
      </c>
      <c r="I2" s="45" t="s">
        <v>298</v>
      </c>
      <c r="J2" t="s">
        <v>301</v>
      </c>
      <c r="K2" t="s">
        <v>302</v>
      </c>
      <c r="L2" s="45" t="s">
        <v>305</v>
      </c>
      <c r="M2" s="45" t="s">
        <v>306</v>
      </c>
      <c r="N2" s="45" t="s">
        <v>307</v>
      </c>
      <c r="O2" s="45" t="s">
        <v>308</v>
      </c>
      <c r="P2" s="45" t="s">
        <v>309</v>
      </c>
      <c r="Q2" s="45" t="s">
        <v>310</v>
      </c>
      <c r="R2" s="45" t="s">
        <v>311</v>
      </c>
      <c r="S2" s="45" t="s">
        <v>312</v>
      </c>
      <c r="T2" s="45" t="s">
        <v>313</v>
      </c>
      <c r="U2" s="45" t="s">
        <v>314</v>
      </c>
      <c r="V2" s="45" t="s">
        <v>315</v>
      </c>
      <c r="W2" s="45" t="s">
        <v>316</v>
      </c>
      <c r="X2" s="45" t="s">
        <v>317</v>
      </c>
      <c r="Y2" s="45" t="s">
        <v>318</v>
      </c>
      <c r="Z2" s="45" t="s">
        <v>391</v>
      </c>
      <c r="AA2" t="s">
        <v>319</v>
      </c>
      <c r="AB2" t="s">
        <v>320</v>
      </c>
      <c r="AC2" t="s">
        <v>321</v>
      </c>
      <c r="AD2" t="s">
        <v>322</v>
      </c>
      <c r="AE2" t="s">
        <v>323</v>
      </c>
      <c r="AF2" t="s">
        <v>324</v>
      </c>
      <c r="AG2" t="s">
        <v>325</v>
      </c>
      <c r="AH2" t="s">
        <v>326</v>
      </c>
      <c r="AI2" t="s">
        <v>327</v>
      </c>
      <c r="AJ2" t="s">
        <v>328</v>
      </c>
      <c r="AK2" t="s">
        <v>329</v>
      </c>
      <c r="AL2" t="s">
        <v>330</v>
      </c>
      <c r="AM2" t="s">
        <v>331</v>
      </c>
      <c r="AN2" t="s">
        <v>417</v>
      </c>
      <c r="AO2" t="s">
        <v>414</v>
      </c>
      <c r="AP2" s="46" t="s">
        <v>412</v>
      </c>
      <c r="AQ2" s="46" t="s">
        <v>410</v>
      </c>
      <c r="AR2" s="46" t="s">
        <v>408</v>
      </c>
      <c r="AS2" s="46" t="s">
        <v>407</v>
      </c>
      <c r="AT2" s="46" t="s">
        <v>405</v>
      </c>
      <c r="AU2" s="10" t="s">
        <v>394</v>
      </c>
      <c r="AV2" s="3" t="s">
        <v>395</v>
      </c>
      <c r="AW2" s="3" t="s">
        <v>396</v>
      </c>
      <c r="AX2" s="46" t="s">
        <v>397</v>
      </c>
      <c r="AY2" s="46" t="s">
        <v>398</v>
      </c>
      <c r="AZ2" s="10" t="s">
        <v>963</v>
      </c>
      <c r="BA2" s="10" t="s">
        <v>964</v>
      </c>
      <c r="BB2" s="46" t="s">
        <v>419</v>
      </c>
      <c r="BC2" s="46" t="s">
        <v>420</v>
      </c>
      <c r="BD2" s="46" t="s">
        <v>423</v>
      </c>
      <c r="BE2" s="46" t="s">
        <v>425</v>
      </c>
      <c r="BF2" s="46" t="s">
        <v>427</v>
      </c>
      <c r="BG2" s="46" t="s">
        <v>429</v>
      </c>
      <c r="BH2" s="46" t="s">
        <v>431</v>
      </c>
      <c r="BI2" s="46" t="s">
        <v>433</v>
      </c>
      <c r="BJ2" s="46" t="s">
        <v>435</v>
      </c>
      <c r="BK2" s="46" t="s">
        <v>437</v>
      </c>
      <c r="BL2" s="46" t="s">
        <v>439</v>
      </c>
      <c r="BM2" s="46" t="s">
        <v>441</v>
      </c>
      <c r="BN2" s="46" t="s">
        <v>443</v>
      </c>
      <c r="BO2" s="46" t="s">
        <v>445</v>
      </c>
      <c r="BP2" s="46" t="s">
        <v>447</v>
      </c>
      <c r="BQ2" s="46" t="s">
        <v>451</v>
      </c>
      <c r="BR2" s="46" t="s">
        <v>453</v>
      </c>
      <c r="BS2" s="46" t="s">
        <v>449</v>
      </c>
      <c r="BT2" s="46" t="s">
        <v>455</v>
      </c>
      <c r="BU2" s="46" t="s">
        <v>457</v>
      </c>
      <c r="BV2" s="46" t="s">
        <v>459</v>
      </c>
      <c r="BW2" s="46" t="s">
        <v>461</v>
      </c>
      <c r="BX2" s="46" t="s">
        <v>463</v>
      </c>
      <c r="BY2" s="46" t="s">
        <v>465</v>
      </c>
      <c r="BZ2" s="46" t="s">
        <v>467</v>
      </c>
      <c r="CA2" s="46" t="s">
        <v>469</v>
      </c>
      <c r="CB2" s="46" t="s">
        <v>471</v>
      </c>
      <c r="CC2" s="46" t="s">
        <v>472</v>
      </c>
      <c r="CD2" s="10" t="s">
        <v>479</v>
      </c>
      <c r="CE2" s="10" t="s">
        <v>480</v>
      </c>
      <c r="CF2" s="10" t="s">
        <v>481</v>
      </c>
      <c r="CG2" s="10" t="s">
        <v>482</v>
      </c>
      <c r="CH2" s="13" t="s">
        <v>502</v>
      </c>
      <c r="CI2" s="13" t="s">
        <v>503</v>
      </c>
      <c r="CJ2" s="46" t="s">
        <v>505</v>
      </c>
      <c r="CK2" s="46" t="s">
        <v>507</v>
      </c>
      <c r="CL2" s="13" t="s">
        <v>510</v>
      </c>
      <c r="CM2" s="13" t="s">
        <v>511</v>
      </c>
      <c r="CN2" s="13" t="s">
        <v>513</v>
      </c>
      <c r="CO2" s="13" t="s">
        <v>515</v>
      </c>
      <c r="CP2" s="13" t="s">
        <v>517</v>
      </c>
      <c r="CQ2" s="13" t="s">
        <v>519</v>
      </c>
      <c r="CR2" s="46" t="s">
        <v>521</v>
      </c>
      <c r="CS2" s="46" t="s">
        <v>524</v>
      </c>
      <c r="CT2" s="46" t="s">
        <v>526</v>
      </c>
      <c r="CU2" s="46" t="s">
        <v>528</v>
      </c>
      <c r="CV2" s="46" t="s">
        <v>530</v>
      </c>
      <c r="CW2" s="46" t="s">
        <v>532</v>
      </c>
      <c r="CX2" s="46" t="s">
        <v>533</v>
      </c>
      <c r="CY2" s="47" t="s">
        <v>536</v>
      </c>
      <c r="CZ2" s="47" t="s">
        <v>538</v>
      </c>
      <c r="DA2" s="47" t="s">
        <v>540</v>
      </c>
      <c r="DB2" s="47" t="s">
        <v>542</v>
      </c>
      <c r="DC2" s="47" t="s">
        <v>544</v>
      </c>
      <c r="DD2" s="21" t="s">
        <v>1040</v>
      </c>
      <c r="DE2" s="21" t="s">
        <v>1045</v>
      </c>
      <c r="DF2" s="21" t="s">
        <v>568</v>
      </c>
      <c r="DG2" s="21" t="s">
        <v>570</v>
      </c>
      <c r="DH2" s="21" t="s">
        <v>572</v>
      </c>
      <c r="DI2" s="21" t="s">
        <v>574</v>
      </c>
      <c r="DJ2" s="21" t="s">
        <v>576</v>
      </c>
      <c r="DK2" s="21" t="s">
        <v>578</v>
      </c>
      <c r="DL2" s="21" t="s">
        <v>580</v>
      </c>
      <c r="DM2" s="47" t="s">
        <v>1042</v>
      </c>
      <c r="DN2" s="47" t="s">
        <v>1044</v>
      </c>
      <c r="DO2" s="47" t="s">
        <v>582</v>
      </c>
      <c r="DP2" s="47" t="s">
        <v>584</v>
      </c>
      <c r="DQ2" s="47" t="s">
        <v>967</v>
      </c>
      <c r="DR2" s="47" t="s">
        <v>587</v>
      </c>
      <c r="DS2" s="47" t="s">
        <v>589</v>
      </c>
      <c r="DT2" s="47" t="s">
        <v>591</v>
      </c>
      <c r="DU2" s="47" t="s">
        <v>593</v>
      </c>
      <c r="DV2" s="48" t="s">
        <v>603</v>
      </c>
      <c r="DW2" s="48" t="s">
        <v>604</v>
      </c>
      <c r="DX2" s="48" t="s">
        <v>606</v>
      </c>
      <c r="DY2" s="48" t="s">
        <v>608</v>
      </c>
      <c r="DZ2" s="48" t="s">
        <v>610</v>
      </c>
      <c r="EA2" s="48" t="s">
        <v>614</v>
      </c>
      <c r="EB2" s="48" t="s">
        <v>616</v>
      </c>
      <c r="EC2" s="48" t="s">
        <v>612</v>
      </c>
      <c r="ED2" s="48" t="s">
        <v>976</v>
      </c>
      <c r="EE2" s="48" t="s">
        <v>977</v>
      </c>
      <c r="EF2" s="48" t="s">
        <v>970</v>
      </c>
      <c r="EG2" s="48" t="s">
        <v>973</v>
      </c>
      <c r="EH2" s="48" t="s">
        <v>618</v>
      </c>
      <c r="EI2" s="48" t="s">
        <v>620</v>
      </c>
      <c r="EJ2" s="23" t="s">
        <v>628</v>
      </c>
      <c r="EK2" s="23" t="s">
        <v>636</v>
      </c>
      <c r="EL2" s="23" t="s">
        <v>635</v>
      </c>
      <c r="EM2" s="23" t="s">
        <v>634</v>
      </c>
      <c r="EN2" s="23" t="s">
        <v>980</v>
      </c>
      <c r="EO2" s="23" t="s">
        <v>982</v>
      </c>
      <c r="EP2" s="23" t="s">
        <v>633</v>
      </c>
      <c r="EQ2" s="47" t="s">
        <v>648</v>
      </c>
      <c r="ER2" s="47" t="s">
        <v>649</v>
      </c>
      <c r="ES2" s="47" t="s">
        <v>650</v>
      </c>
      <c r="ET2" s="47" t="s">
        <v>651</v>
      </c>
      <c r="EU2" s="47" t="s">
        <v>652</v>
      </c>
      <c r="EV2" s="47" t="s">
        <v>653</v>
      </c>
      <c r="EW2" s="47" t="s">
        <v>654</v>
      </c>
      <c r="EX2" s="47" t="s">
        <v>655</v>
      </c>
      <c r="EY2" s="49" t="s">
        <v>675</v>
      </c>
      <c r="EZ2" s="49" t="s">
        <v>676</v>
      </c>
      <c r="FA2" s="49" t="s">
        <v>677</v>
      </c>
      <c r="FB2" s="49" t="s">
        <v>678</v>
      </c>
      <c r="FC2" s="49" t="s">
        <v>679</v>
      </c>
      <c r="FD2" s="48" t="s">
        <v>693</v>
      </c>
      <c r="FE2" s="48" t="s">
        <v>694</v>
      </c>
      <c r="FF2" s="48" t="s">
        <v>695</v>
      </c>
      <c r="FG2" s="48" t="s">
        <v>696</v>
      </c>
      <c r="FH2" s="48" t="s">
        <v>697</v>
      </c>
      <c r="FI2" s="48" t="s">
        <v>699</v>
      </c>
      <c r="FJ2" s="48" t="s">
        <v>698</v>
      </c>
      <c r="FK2" s="49" t="s">
        <v>704</v>
      </c>
      <c r="FL2" s="49" t="s">
        <v>705</v>
      </c>
      <c r="FM2" s="49" t="s">
        <v>706</v>
      </c>
      <c r="FN2" s="49" t="s">
        <v>707</v>
      </c>
      <c r="FO2" s="47" t="s">
        <v>722</v>
      </c>
      <c r="FP2" s="47" t="s">
        <v>723</v>
      </c>
      <c r="FQ2" s="47" t="s">
        <v>716</v>
      </c>
      <c r="FR2" s="47" t="s">
        <v>717</v>
      </c>
      <c r="FS2" s="47" t="s">
        <v>718</v>
      </c>
      <c r="FT2" s="47" t="s">
        <v>719</v>
      </c>
      <c r="FU2" s="47" t="s">
        <v>720</v>
      </c>
      <c r="FV2" s="47" t="s">
        <v>721</v>
      </c>
      <c r="FW2" s="47" t="s">
        <v>724</v>
      </c>
      <c r="FX2" s="47" t="s">
        <v>990</v>
      </c>
      <c r="FY2" s="23" t="s">
        <v>725</v>
      </c>
      <c r="FZ2" s="23" t="s">
        <v>726</v>
      </c>
      <c r="GA2" s="23" t="s">
        <v>727</v>
      </c>
      <c r="GB2" s="23" t="s">
        <v>728</v>
      </c>
      <c r="GC2" s="23" t="s">
        <v>729</v>
      </c>
      <c r="GD2" s="23" t="s">
        <v>730</v>
      </c>
      <c r="GE2" s="23" t="s">
        <v>731</v>
      </c>
      <c r="GF2" s="23" t="s">
        <v>732</v>
      </c>
      <c r="GG2" s="23" t="s">
        <v>733</v>
      </c>
      <c r="GH2" s="23" t="s">
        <v>734</v>
      </c>
      <c r="GI2" s="47" t="s">
        <v>770</v>
      </c>
      <c r="GJ2" s="47" t="s">
        <v>769</v>
      </c>
      <c r="GK2" s="47" t="s">
        <v>768</v>
      </c>
      <c r="GL2" s="47" t="s">
        <v>767</v>
      </c>
      <c r="GM2" s="47" t="s">
        <v>766</v>
      </c>
      <c r="GN2" s="47" t="s">
        <v>765</v>
      </c>
      <c r="GO2" s="47" t="s">
        <v>764</v>
      </c>
      <c r="GP2" s="47" t="s">
        <v>763</v>
      </c>
      <c r="GQ2" s="47" t="s">
        <v>762</v>
      </c>
      <c r="GR2" s="47" t="s">
        <v>761</v>
      </c>
      <c r="GS2" s="47" t="s">
        <v>760</v>
      </c>
      <c r="GT2" s="47" t="s">
        <v>759</v>
      </c>
      <c r="GU2" s="47" t="s">
        <v>758</v>
      </c>
      <c r="GV2" s="47" t="s">
        <v>757</v>
      </c>
      <c r="GW2" s="47" t="s">
        <v>756</v>
      </c>
      <c r="GX2" s="47" t="s">
        <v>755</v>
      </c>
      <c r="GY2" s="47" t="s">
        <v>754</v>
      </c>
      <c r="GZ2" s="47" t="s">
        <v>753</v>
      </c>
      <c r="HA2" s="23" t="s">
        <v>752</v>
      </c>
      <c r="HB2" s="23" t="s">
        <v>751</v>
      </c>
      <c r="HC2" s="23" t="s">
        <v>750</v>
      </c>
      <c r="HD2" s="23" t="s">
        <v>749</v>
      </c>
      <c r="HE2" s="23" t="s">
        <v>748</v>
      </c>
      <c r="HF2" s="23" t="s">
        <v>747</v>
      </c>
      <c r="HG2" s="23" t="s">
        <v>746</v>
      </c>
      <c r="HH2" s="23" t="s">
        <v>745</v>
      </c>
      <c r="HI2" s="23" t="s">
        <v>744</v>
      </c>
      <c r="HJ2" s="23" t="s">
        <v>743</v>
      </c>
      <c r="HK2" s="23" t="s">
        <v>742</v>
      </c>
      <c r="HL2" s="23" t="s">
        <v>741</v>
      </c>
      <c r="HM2" s="23" t="s">
        <v>740</v>
      </c>
      <c r="HN2" s="23" t="s">
        <v>739</v>
      </c>
      <c r="HO2" s="23" t="s">
        <v>738</v>
      </c>
      <c r="HP2" s="23" t="s">
        <v>737</v>
      </c>
      <c r="HQ2" s="23" t="s">
        <v>736</v>
      </c>
      <c r="HR2" s="23" t="s">
        <v>735</v>
      </c>
      <c r="HS2" s="47" t="s">
        <v>807</v>
      </c>
      <c r="HT2" s="47" t="s">
        <v>808</v>
      </c>
      <c r="HU2" s="47" t="s">
        <v>809</v>
      </c>
      <c r="HV2" s="47" t="s">
        <v>810</v>
      </c>
      <c r="HW2" s="47" t="s">
        <v>811</v>
      </c>
      <c r="HX2" s="47" t="s">
        <v>812</v>
      </c>
      <c r="HY2" s="47" t="s">
        <v>813</v>
      </c>
      <c r="HZ2" s="47" t="s">
        <v>814</v>
      </c>
      <c r="IA2" s="23" t="s">
        <v>816</v>
      </c>
      <c r="IB2" s="23" t="s">
        <v>817</v>
      </c>
      <c r="IC2" s="23" t="s">
        <v>818</v>
      </c>
      <c r="ID2" s="23" t="s">
        <v>819</v>
      </c>
      <c r="IE2" s="23" t="s">
        <v>820</v>
      </c>
      <c r="IF2" s="23" t="s">
        <v>821</v>
      </c>
      <c r="IG2" s="23" t="s">
        <v>822</v>
      </c>
      <c r="IH2" s="23" t="s">
        <v>823</v>
      </c>
      <c r="II2" s="23" t="s">
        <v>824</v>
      </c>
      <c r="IJ2" s="47" t="s">
        <v>844</v>
      </c>
      <c r="IK2" s="47" t="s">
        <v>846</v>
      </c>
      <c r="IL2" s="47" t="s">
        <v>845</v>
      </c>
      <c r="IM2" s="47" t="s">
        <v>847</v>
      </c>
      <c r="IN2" s="47" t="s">
        <v>848</v>
      </c>
      <c r="IO2" s="47" t="s">
        <v>849</v>
      </c>
      <c r="IP2" s="47" t="s">
        <v>850</v>
      </c>
      <c r="IQ2" s="47" t="s">
        <v>851</v>
      </c>
      <c r="IR2" s="47" t="s">
        <v>852</v>
      </c>
      <c r="IS2" s="23" t="s">
        <v>858</v>
      </c>
      <c r="IT2" s="23" t="s">
        <v>859</v>
      </c>
      <c r="IU2" s="23" t="s">
        <v>860</v>
      </c>
      <c r="IV2" s="23" t="s">
        <v>861</v>
      </c>
      <c r="IW2" s="23" t="s">
        <v>862</v>
      </c>
      <c r="IX2" s="47" t="s">
        <v>865</v>
      </c>
      <c r="IY2" s="47" t="s">
        <v>866</v>
      </c>
      <c r="IZ2" s="47" t="s">
        <v>867</v>
      </c>
      <c r="JA2" s="47" t="s">
        <v>868</v>
      </c>
      <c r="JB2" s="47" t="s">
        <v>869</v>
      </c>
      <c r="JC2" s="47" t="s">
        <v>1002</v>
      </c>
      <c r="JD2" s="23" t="s">
        <v>996</v>
      </c>
      <c r="JE2" s="49" t="s">
        <v>997</v>
      </c>
      <c r="JF2" s="49" t="s">
        <v>998</v>
      </c>
      <c r="JG2" s="49" t="s">
        <v>870</v>
      </c>
      <c r="JH2" s="51" t="s">
        <v>871</v>
      </c>
      <c r="JI2" s="51" t="s">
        <v>872</v>
      </c>
      <c r="JJ2" s="47" t="s">
        <v>875</v>
      </c>
      <c r="JK2" s="47" t="s">
        <v>876</v>
      </c>
      <c r="JL2" s="47" t="s">
        <v>877</v>
      </c>
      <c r="JM2" s="47" t="s">
        <v>878</v>
      </c>
      <c r="JN2" s="23" t="s">
        <v>879</v>
      </c>
      <c r="JO2" s="23" t="s">
        <v>880</v>
      </c>
      <c r="JP2" s="23" t="s">
        <v>881</v>
      </c>
      <c r="JQ2" s="23" t="s">
        <v>882</v>
      </c>
      <c r="JR2" s="23" t="s">
        <v>883</v>
      </c>
      <c r="JS2" s="23" t="s">
        <v>884</v>
      </c>
      <c r="JT2" s="23" t="s">
        <v>885</v>
      </c>
      <c r="JU2" s="23" t="s">
        <v>886</v>
      </c>
      <c r="JV2" s="23" t="s">
        <v>887</v>
      </c>
      <c r="JW2" s="3" t="s">
        <v>888</v>
      </c>
      <c r="JX2" s="3" t="s">
        <v>889</v>
      </c>
      <c r="JY2" s="3" t="s">
        <v>891</v>
      </c>
      <c r="JZ2" s="3" t="s">
        <v>890</v>
      </c>
      <c r="KA2" s="23" t="s">
        <v>892</v>
      </c>
      <c r="KB2" s="47" t="s">
        <v>893</v>
      </c>
      <c r="KC2" s="47" t="s">
        <v>895</v>
      </c>
      <c r="KD2" s="47" t="s">
        <v>894</v>
      </c>
      <c r="KE2" s="47" t="s">
        <v>896</v>
      </c>
      <c r="KF2" s="47" t="s">
        <v>897</v>
      </c>
      <c r="KG2" s="47" t="s">
        <v>898</v>
      </c>
      <c r="KH2" s="47" t="s">
        <v>899</v>
      </c>
      <c r="KI2" s="47" t="s">
        <v>900</v>
      </c>
      <c r="KJ2" s="23" t="s">
        <v>901</v>
      </c>
      <c r="KK2" s="23" t="s">
        <v>902</v>
      </c>
      <c r="KL2" s="23" t="s">
        <v>903</v>
      </c>
      <c r="KM2" s="23" t="s">
        <v>904</v>
      </c>
      <c r="KN2" s="49" t="s">
        <v>905</v>
      </c>
      <c r="KO2" s="49" t="s">
        <v>906</v>
      </c>
      <c r="KP2" s="49" t="s">
        <v>907</v>
      </c>
      <c r="KQ2" s="49" t="s">
        <v>908</v>
      </c>
      <c r="KR2" s="50" t="s">
        <v>909</v>
      </c>
      <c r="KS2" s="50" t="s">
        <v>910</v>
      </c>
      <c r="KT2" s="23" t="s">
        <v>920</v>
      </c>
      <c r="KU2" s="23" t="s">
        <v>921</v>
      </c>
      <c r="KV2" s="49" t="s">
        <v>1055</v>
      </c>
      <c r="KW2" s="49" t="s">
        <v>1056</v>
      </c>
      <c r="KX2" s="49" t="s">
        <v>1057</v>
      </c>
      <c r="KY2" s="49"/>
      <c r="KZ2" s="50" t="s">
        <v>1058</v>
      </c>
      <c r="LA2" s="50" t="s">
        <v>1059</v>
      </c>
      <c r="LB2" s="50" t="s">
        <v>1060</v>
      </c>
      <c r="LC2" s="50"/>
      <c r="LD2" s="47" t="s">
        <v>923</v>
      </c>
      <c r="LE2" s="47" t="s">
        <v>924</v>
      </c>
      <c r="LF2" s="23" t="s">
        <v>925</v>
      </c>
      <c r="LG2" s="23" t="s">
        <v>926</v>
      </c>
      <c r="LH2" s="23" t="s">
        <v>927</v>
      </c>
      <c r="LI2" s="47" t="s">
        <v>928</v>
      </c>
      <c r="LJ2" s="47" t="s">
        <v>929</v>
      </c>
      <c r="LK2" s="47" t="s">
        <v>930</v>
      </c>
      <c r="LL2" s="47" t="s">
        <v>931</v>
      </c>
      <c r="LM2" s="47" t="s">
        <v>932</v>
      </c>
      <c r="LN2" s="47" t="s">
        <v>933</v>
      </c>
      <c r="LO2" s="47" t="s">
        <v>934</v>
      </c>
      <c r="LP2" s="23" t="s">
        <v>935</v>
      </c>
      <c r="LQ2" s="23" t="s">
        <v>936</v>
      </c>
      <c r="LR2" s="23" t="s">
        <v>937</v>
      </c>
      <c r="LS2" s="23" t="s">
        <v>938</v>
      </c>
      <c r="LT2" s="23" t="s">
        <v>939</v>
      </c>
      <c r="LU2" s="23" t="s">
        <v>940</v>
      </c>
      <c r="LV2" s="23" t="s">
        <v>941</v>
      </c>
      <c r="LW2" s="25" t="s">
        <v>944</v>
      </c>
      <c r="LX2" s="25" t="s">
        <v>942</v>
      </c>
      <c r="LY2" s="25" t="s">
        <v>943</v>
      </c>
      <c r="LZ2" s="47" t="s">
        <v>992</v>
      </c>
      <c r="MA2" s="23" t="s">
        <v>993</v>
      </c>
      <c r="MB2" s="55" t="s">
        <v>1010</v>
      </c>
      <c r="MC2" s="55" t="s">
        <v>1011</v>
      </c>
      <c r="MD2" s="3" t="s">
        <v>1016</v>
      </c>
      <c r="ME2" s="3" t="s">
        <v>1017</v>
      </c>
      <c r="MF2" s="3" t="s">
        <v>1018</v>
      </c>
      <c r="MG2" s="3" t="s">
        <v>1019</v>
      </c>
      <c r="MH2" s="3" t="s">
        <v>1020</v>
      </c>
      <c r="MI2" s="3" t="s">
        <v>1021</v>
      </c>
      <c r="MJ2" s="3" t="s">
        <v>1022</v>
      </c>
      <c r="MK2" s="3" t="s">
        <v>1023</v>
      </c>
      <c r="ML2" s="3" t="s">
        <v>1024</v>
      </c>
      <c r="MM2" s="3" t="s">
        <v>1025</v>
      </c>
      <c r="MN2" s="3" t="s">
        <v>1026</v>
      </c>
      <c r="MO2" s="3" t="s">
        <v>1012</v>
      </c>
      <c r="MP2" s="3" t="s">
        <v>1013</v>
      </c>
      <c r="MQ2" s="3" t="s">
        <v>1014</v>
      </c>
      <c r="MR2" s="3" t="s">
        <v>1015</v>
      </c>
    </row>
    <row r="3" spans="1:356">
      <c r="A3" t="s">
        <v>39</v>
      </c>
      <c r="B3" t="s">
        <v>40</v>
      </c>
      <c r="C3">
        <v>14189</v>
      </c>
      <c r="D3">
        <v>16814</v>
      </c>
      <c r="E3">
        <v>17994</v>
      </c>
      <c r="F3">
        <f t="shared" ref="F3:F34" si="0">E3-D3</f>
        <v>1180</v>
      </c>
      <c r="G3" s="26">
        <f t="shared" ref="G3:G34" si="1">E3/D3*100-100</f>
        <v>7.0179612227905181</v>
      </c>
      <c r="H3">
        <v>8997</v>
      </c>
      <c r="I3">
        <v>8997</v>
      </c>
      <c r="J3">
        <v>8092</v>
      </c>
      <c r="K3">
        <v>9902</v>
      </c>
      <c r="L3">
        <v>1032</v>
      </c>
      <c r="M3">
        <v>1106</v>
      </c>
      <c r="N3">
        <v>981</v>
      </c>
      <c r="O3">
        <v>839</v>
      </c>
      <c r="P3">
        <v>637</v>
      </c>
      <c r="Q3">
        <v>620</v>
      </c>
      <c r="R3">
        <v>576</v>
      </c>
      <c r="S3">
        <v>528</v>
      </c>
      <c r="T3">
        <v>519</v>
      </c>
      <c r="U3">
        <v>431</v>
      </c>
      <c r="V3">
        <v>405</v>
      </c>
      <c r="W3">
        <v>305</v>
      </c>
      <c r="X3">
        <v>275</v>
      </c>
      <c r="Y3">
        <v>743</v>
      </c>
      <c r="Z3">
        <v>0</v>
      </c>
      <c r="AA3">
        <v>1031</v>
      </c>
      <c r="AB3">
        <v>1022</v>
      </c>
      <c r="AC3">
        <v>940</v>
      </c>
      <c r="AD3">
        <v>797</v>
      </c>
      <c r="AE3">
        <v>672</v>
      </c>
      <c r="AF3">
        <v>695</v>
      </c>
      <c r="AG3">
        <v>647</v>
      </c>
      <c r="AH3">
        <v>591</v>
      </c>
      <c r="AI3">
        <v>539</v>
      </c>
      <c r="AJ3">
        <v>481</v>
      </c>
      <c r="AK3">
        <v>414</v>
      </c>
      <c r="AL3">
        <v>347</v>
      </c>
      <c r="AM3">
        <v>254</v>
      </c>
      <c r="AN3">
        <v>567</v>
      </c>
      <c r="AO3">
        <v>0</v>
      </c>
      <c r="AP3">
        <v>17142</v>
      </c>
      <c r="AQ3">
        <v>664</v>
      </c>
      <c r="AR3">
        <v>31</v>
      </c>
      <c r="AS3">
        <v>148</v>
      </c>
      <c r="AT3">
        <v>9</v>
      </c>
      <c r="AU3">
        <v>45</v>
      </c>
      <c r="AV3">
        <v>30</v>
      </c>
      <c r="AW3">
        <v>15</v>
      </c>
      <c r="AX3">
        <v>58</v>
      </c>
      <c r="AY3">
        <v>29</v>
      </c>
      <c r="AZ3">
        <v>18</v>
      </c>
      <c r="BA3">
        <v>11</v>
      </c>
      <c r="BB3">
        <v>0</v>
      </c>
      <c r="BC3">
        <v>0</v>
      </c>
      <c r="BD3">
        <v>0</v>
      </c>
      <c r="BE3">
        <v>0</v>
      </c>
      <c r="BF3">
        <v>0</v>
      </c>
      <c r="BG3">
        <v>0</v>
      </c>
      <c r="BH3">
        <v>0</v>
      </c>
      <c r="BI3">
        <v>0</v>
      </c>
      <c r="BJ3">
        <v>1</v>
      </c>
      <c r="BK3">
        <v>1</v>
      </c>
      <c r="BL3">
        <v>3</v>
      </c>
      <c r="BM3">
        <v>3</v>
      </c>
      <c r="BN3">
        <v>1</v>
      </c>
      <c r="BO3">
        <v>1</v>
      </c>
      <c r="BP3">
        <v>2</v>
      </c>
      <c r="BQ3">
        <v>3</v>
      </c>
      <c r="BR3">
        <v>2</v>
      </c>
      <c r="BS3">
        <v>0</v>
      </c>
      <c r="BT3">
        <v>2</v>
      </c>
      <c r="BU3">
        <v>4</v>
      </c>
      <c r="BV3">
        <v>3</v>
      </c>
      <c r="BW3">
        <v>1</v>
      </c>
      <c r="BX3">
        <v>3</v>
      </c>
      <c r="BY3">
        <v>0</v>
      </c>
      <c r="BZ3">
        <v>3</v>
      </c>
      <c r="CA3">
        <v>2</v>
      </c>
      <c r="CB3">
        <v>10</v>
      </c>
      <c r="CC3">
        <v>0</v>
      </c>
      <c r="CD3">
        <v>29</v>
      </c>
      <c r="CE3">
        <v>14</v>
      </c>
      <c r="CF3">
        <v>0</v>
      </c>
      <c r="CG3">
        <v>1</v>
      </c>
      <c r="CH3">
        <v>3182</v>
      </c>
      <c r="CI3">
        <v>1233</v>
      </c>
      <c r="CJ3">
        <v>13244</v>
      </c>
      <c r="CK3">
        <v>4748</v>
      </c>
      <c r="CL3">
        <v>418</v>
      </c>
      <c r="CM3">
        <v>670</v>
      </c>
      <c r="CN3">
        <v>751</v>
      </c>
      <c r="CO3">
        <v>888</v>
      </c>
      <c r="CP3">
        <v>706</v>
      </c>
      <c r="CQ3">
        <v>982</v>
      </c>
      <c r="CR3">
        <v>3030</v>
      </c>
      <c r="CS3">
        <v>7736</v>
      </c>
      <c r="CT3">
        <v>1671</v>
      </c>
      <c r="CU3">
        <v>480</v>
      </c>
      <c r="CV3">
        <v>144</v>
      </c>
      <c r="CW3">
        <v>462</v>
      </c>
      <c r="CX3">
        <v>54</v>
      </c>
      <c r="CY3">
        <v>2735</v>
      </c>
      <c r="CZ3">
        <v>1223</v>
      </c>
      <c r="DA3">
        <v>27</v>
      </c>
      <c r="DB3">
        <v>418</v>
      </c>
      <c r="DC3">
        <v>12</v>
      </c>
      <c r="DD3">
        <v>1801</v>
      </c>
      <c r="DE3">
        <v>1900</v>
      </c>
      <c r="DF3">
        <v>1938</v>
      </c>
      <c r="DG3">
        <v>4263</v>
      </c>
      <c r="DH3">
        <v>0</v>
      </c>
      <c r="DI3">
        <v>8092</v>
      </c>
      <c r="DJ3">
        <v>0</v>
      </c>
      <c r="DK3">
        <v>0</v>
      </c>
      <c r="DL3">
        <v>0</v>
      </c>
      <c r="DM3">
        <v>92</v>
      </c>
      <c r="DN3">
        <v>13</v>
      </c>
      <c r="DO3">
        <v>5</v>
      </c>
      <c r="DP3">
        <v>5</v>
      </c>
      <c r="DQ3">
        <v>0</v>
      </c>
      <c r="DR3">
        <v>1</v>
      </c>
      <c r="DS3">
        <v>0</v>
      </c>
      <c r="DT3">
        <v>0</v>
      </c>
      <c r="DU3">
        <v>0</v>
      </c>
      <c r="DV3">
        <v>456</v>
      </c>
      <c r="DW3">
        <v>488</v>
      </c>
      <c r="DX3">
        <v>715</v>
      </c>
      <c r="DY3">
        <v>715</v>
      </c>
      <c r="DZ3">
        <v>312</v>
      </c>
      <c r="EA3">
        <v>287</v>
      </c>
      <c r="EB3">
        <v>251</v>
      </c>
      <c r="EC3">
        <v>208</v>
      </c>
      <c r="ED3">
        <v>196</v>
      </c>
      <c r="EE3">
        <v>181</v>
      </c>
      <c r="EF3">
        <v>264</v>
      </c>
      <c r="EG3">
        <v>251</v>
      </c>
      <c r="EH3">
        <v>89</v>
      </c>
      <c r="EI3">
        <v>80</v>
      </c>
      <c r="EJ3">
        <v>634</v>
      </c>
      <c r="EK3">
        <v>929</v>
      </c>
      <c r="EL3">
        <v>396</v>
      </c>
      <c r="EM3">
        <v>298</v>
      </c>
      <c r="EN3">
        <v>234</v>
      </c>
      <c r="EO3">
        <v>341</v>
      </c>
      <c r="EP3">
        <v>114</v>
      </c>
      <c r="EQ3">
        <v>5111</v>
      </c>
      <c r="ER3">
        <v>5072</v>
      </c>
      <c r="ES3">
        <v>39</v>
      </c>
      <c r="ET3">
        <v>1287</v>
      </c>
      <c r="EU3">
        <v>2843</v>
      </c>
      <c r="EV3">
        <v>2824</v>
      </c>
      <c r="EW3">
        <v>19</v>
      </c>
      <c r="EX3">
        <v>3702</v>
      </c>
      <c r="EY3" s="26">
        <v>43.686455000000002</v>
      </c>
      <c r="EZ3" s="26">
        <v>11.708757</v>
      </c>
      <c r="FA3" s="26">
        <v>20.170548</v>
      </c>
      <c r="FB3" s="26">
        <v>24.286650999999999</v>
      </c>
      <c r="FC3" s="26">
        <v>0.147589</v>
      </c>
      <c r="FD3">
        <v>860</v>
      </c>
      <c r="FE3">
        <v>3048</v>
      </c>
      <c r="FF3">
        <v>323</v>
      </c>
      <c r="FG3">
        <v>1713</v>
      </c>
      <c r="FH3">
        <v>5</v>
      </c>
      <c r="FI3">
        <v>1467</v>
      </c>
      <c r="FJ3">
        <v>533</v>
      </c>
      <c r="FK3" s="26" t="s">
        <v>359</v>
      </c>
      <c r="FL3" s="26" t="s">
        <v>359</v>
      </c>
      <c r="FM3" s="26" t="s">
        <v>359</v>
      </c>
      <c r="FN3" s="26" t="s">
        <v>359</v>
      </c>
      <c r="FO3" s="28">
        <v>5728</v>
      </c>
      <c r="FP3" s="28">
        <v>3263</v>
      </c>
      <c r="FQ3">
        <v>613</v>
      </c>
      <c r="FR3">
        <v>133</v>
      </c>
      <c r="FS3">
        <v>23</v>
      </c>
      <c r="FT3">
        <v>26</v>
      </c>
      <c r="FU3">
        <v>4666</v>
      </c>
      <c r="FV3">
        <v>6</v>
      </c>
      <c r="FW3">
        <v>6</v>
      </c>
      <c r="FX3">
        <v>6</v>
      </c>
      <c r="FY3">
        <v>6165</v>
      </c>
      <c r="FZ3">
        <v>2826</v>
      </c>
      <c r="GA3">
        <v>622</v>
      </c>
      <c r="GB3">
        <v>144</v>
      </c>
      <c r="GC3">
        <v>33</v>
      </c>
      <c r="GD3">
        <v>20</v>
      </c>
      <c r="GE3">
        <v>5054</v>
      </c>
      <c r="GF3">
        <v>8</v>
      </c>
      <c r="GG3">
        <v>14</v>
      </c>
      <c r="GH3">
        <v>6</v>
      </c>
      <c r="GI3">
        <v>623</v>
      </c>
      <c r="GJ3">
        <v>788</v>
      </c>
      <c r="GK3">
        <v>694</v>
      </c>
      <c r="GL3">
        <v>562</v>
      </c>
      <c r="GM3">
        <v>349</v>
      </c>
      <c r="GN3">
        <v>373</v>
      </c>
      <c r="GO3">
        <v>355</v>
      </c>
      <c r="GP3">
        <v>328</v>
      </c>
      <c r="GQ3">
        <v>309</v>
      </c>
      <c r="GR3">
        <v>265</v>
      </c>
      <c r="GS3">
        <v>251</v>
      </c>
      <c r="GT3">
        <v>199</v>
      </c>
      <c r="GU3">
        <v>172</v>
      </c>
      <c r="GV3">
        <v>146</v>
      </c>
      <c r="GW3">
        <v>127</v>
      </c>
      <c r="GX3">
        <v>77</v>
      </c>
      <c r="GY3">
        <v>55</v>
      </c>
      <c r="GZ3">
        <v>55</v>
      </c>
      <c r="HA3">
        <v>662</v>
      </c>
      <c r="HB3">
        <v>731</v>
      </c>
      <c r="HC3">
        <v>667</v>
      </c>
      <c r="HD3">
        <v>550</v>
      </c>
      <c r="HE3">
        <v>417</v>
      </c>
      <c r="HF3">
        <v>479</v>
      </c>
      <c r="HG3">
        <v>457</v>
      </c>
      <c r="HH3">
        <v>401</v>
      </c>
      <c r="HI3">
        <v>383</v>
      </c>
      <c r="HJ3">
        <v>324</v>
      </c>
      <c r="HK3">
        <v>303</v>
      </c>
      <c r="HL3">
        <v>226</v>
      </c>
      <c r="HM3">
        <v>169</v>
      </c>
      <c r="HN3">
        <v>144</v>
      </c>
      <c r="HO3">
        <v>95</v>
      </c>
      <c r="HP3">
        <v>71</v>
      </c>
      <c r="HQ3">
        <v>49</v>
      </c>
      <c r="HR3">
        <v>37</v>
      </c>
      <c r="HS3">
        <v>3774</v>
      </c>
      <c r="HT3">
        <v>0</v>
      </c>
      <c r="HU3">
        <v>7</v>
      </c>
      <c r="HV3">
        <v>0</v>
      </c>
      <c r="HW3">
        <v>2</v>
      </c>
      <c r="HX3">
        <v>0</v>
      </c>
      <c r="HY3">
        <v>4</v>
      </c>
      <c r="HZ3">
        <v>2</v>
      </c>
      <c r="IA3">
        <v>415</v>
      </c>
      <c r="IB3">
        <v>669</v>
      </c>
      <c r="IC3">
        <v>751</v>
      </c>
      <c r="ID3">
        <v>887</v>
      </c>
      <c r="IE3">
        <v>705</v>
      </c>
      <c r="IF3">
        <v>465</v>
      </c>
      <c r="IG3">
        <v>257</v>
      </c>
      <c r="IH3">
        <v>134</v>
      </c>
      <c r="II3">
        <v>126</v>
      </c>
      <c r="IJ3">
        <v>675</v>
      </c>
      <c r="IK3">
        <v>1130</v>
      </c>
      <c r="IL3">
        <v>1287</v>
      </c>
      <c r="IM3">
        <v>865</v>
      </c>
      <c r="IN3">
        <v>333</v>
      </c>
      <c r="IO3">
        <v>84</v>
      </c>
      <c r="IP3">
        <v>24</v>
      </c>
      <c r="IQ3">
        <v>7</v>
      </c>
      <c r="IR3">
        <v>4</v>
      </c>
      <c r="IS3">
        <v>1921</v>
      </c>
      <c r="IT3">
        <v>1715</v>
      </c>
      <c r="IU3">
        <v>624</v>
      </c>
      <c r="IV3">
        <v>130</v>
      </c>
      <c r="IW3">
        <v>19</v>
      </c>
      <c r="IX3">
        <v>1944</v>
      </c>
      <c r="IY3">
        <v>1208</v>
      </c>
      <c r="IZ3">
        <v>0</v>
      </c>
      <c r="JA3">
        <v>43</v>
      </c>
      <c r="JB3">
        <v>1</v>
      </c>
      <c r="JC3">
        <v>609</v>
      </c>
      <c r="JD3">
        <v>4202</v>
      </c>
      <c r="JE3">
        <v>205</v>
      </c>
      <c r="JF3">
        <v>2</v>
      </c>
      <c r="JH3" s="28">
        <v>3558.3784988020802</v>
      </c>
      <c r="JI3" s="28">
        <v>266.61017939578102</v>
      </c>
      <c r="JJ3">
        <v>170</v>
      </c>
      <c r="JK3">
        <v>4077</v>
      </c>
      <c r="JL3">
        <v>162</v>
      </c>
      <c r="JM3">
        <v>0</v>
      </c>
      <c r="JN3">
        <v>3214</v>
      </c>
      <c r="JO3">
        <v>1910</v>
      </c>
      <c r="JP3">
        <v>661</v>
      </c>
      <c r="JQ3">
        <v>2584</v>
      </c>
      <c r="JR3">
        <v>3149</v>
      </c>
      <c r="JS3">
        <v>319</v>
      </c>
      <c r="JT3">
        <v>235</v>
      </c>
      <c r="JU3">
        <v>3584</v>
      </c>
      <c r="JV3">
        <v>1081</v>
      </c>
      <c r="JW3" s="28"/>
      <c r="JX3" s="28"/>
      <c r="JY3" s="28"/>
      <c r="JZ3" s="28"/>
      <c r="KA3" s="28">
        <v>4314.9999877299997</v>
      </c>
      <c r="KB3">
        <v>15579</v>
      </c>
      <c r="KC3">
        <v>0</v>
      </c>
      <c r="KD3">
        <v>22</v>
      </c>
      <c r="KE3">
        <v>0</v>
      </c>
      <c r="KF3">
        <v>2</v>
      </c>
      <c r="KG3">
        <v>0</v>
      </c>
      <c r="KH3">
        <v>12</v>
      </c>
      <c r="KI3">
        <v>8</v>
      </c>
      <c r="KJ3">
        <v>732</v>
      </c>
      <c r="KK3">
        <v>16624</v>
      </c>
      <c r="KL3">
        <v>622</v>
      </c>
      <c r="KM3">
        <v>0</v>
      </c>
      <c r="KT3">
        <v>2594</v>
      </c>
      <c r="KU3">
        <v>2441</v>
      </c>
      <c r="KV3">
        <v>2198</v>
      </c>
      <c r="KW3">
        <v>264</v>
      </c>
      <c r="KX3">
        <v>59</v>
      </c>
      <c r="KZ3">
        <v>2083</v>
      </c>
      <c r="LA3">
        <v>236</v>
      </c>
      <c r="LB3">
        <v>80</v>
      </c>
      <c r="LD3">
        <v>1516</v>
      </c>
      <c r="LE3">
        <v>1479</v>
      </c>
      <c r="LF3">
        <v>513</v>
      </c>
      <c r="LG3">
        <v>765</v>
      </c>
      <c r="LH3">
        <v>11882</v>
      </c>
      <c r="LI3">
        <v>34</v>
      </c>
      <c r="LJ3">
        <v>1132</v>
      </c>
      <c r="LK3">
        <v>222</v>
      </c>
      <c r="LL3">
        <v>1169</v>
      </c>
      <c r="LM3">
        <v>3</v>
      </c>
      <c r="LN3">
        <v>896</v>
      </c>
      <c r="LO3">
        <v>216</v>
      </c>
      <c r="LP3">
        <v>42</v>
      </c>
      <c r="LQ3">
        <v>1039</v>
      </c>
      <c r="LR3">
        <v>171</v>
      </c>
      <c r="LS3">
        <v>1500</v>
      </c>
      <c r="LT3">
        <v>4</v>
      </c>
      <c r="LU3">
        <v>838</v>
      </c>
      <c r="LV3">
        <v>223</v>
      </c>
      <c r="LW3" s="44"/>
      <c r="LX3" s="44"/>
      <c r="LY3" s="44"/>
      <c r="LZ3">
        <v>4409</v>
      </c>
      <c r="MA3">
        <v>17978</v>
      </c>
      <c r="MB3">
        <v>18082</v>
      </c>
      <c r="MC3">
        <v>50</v>
      </c>
      <c r="MD3" s="26">
        <v>10.755765</v>
      </c>
      <c r="ME3" s="26">
        <v>10.251450999999999</v>
      </c>
      <c r="MF3" s="26">
        <v>51.733714999999997</v>
      </c>
      <c r="MG3" s="26">
        <v>33.839056999999997</v>
      </c>
      <c r="MH3" s="26">
        <v>3.85575</v>
      </c>
      <c r="MI3" s="26">
        <v>4.150601</v>
      </c>
      <c r="MJ3" s="26">
        <v>6.8496259999999998</v>
      </c>
      <c r="MK3" s="26">
        <v>4.6495799999999994</v>
      </c>
      <c r="ML3" s="26">
        <v>2.1320030000000001</v>
      </c>
      <c r="MM3" s="26">
        <v>56.679518999999999</v>
      </c>
      <c r="MN3" s="26">
        <v>27.103652</v>
      </c>
      <c r="MO3" s="26">
        <v>8.2203999999999999E-2</v>
      </c>
      <c r="MP3" t="s">
        <v>1027</v>
      </c>
      <c r="MQ3">
        <v>945</v>
      </c>
      <c r="MR3">
        <v>85</v>
      </c>
    </row>
    <row r="4" spans="1:356">
      <c r="A4" t="s">
        <v>41</v>
      </c>
      <c r="B4" t="s">
        <v>42</v>
      </c>
      <c r="C4">
        <v>24754</v>
      </c>
      <c r="D4">
        <v>28947</v>
      </c>
      <c r="E4">
        <v>21187</v>
      </c>
      <c r="F4">
        <f t="shared" si="0"/>
        <v>-7760</v>
      </c>
      <c r="G4" s="26">
        <f t="shared" si="1"/>
        <v>-26.807613915086193</v>
      </c>
      <c r="H4">
        <v>10414</v>
      </c>
      <c r="I4">
        <v>10773</v>
      </c>
      <c r="J4">
        <v>15001</v>
      </c>
      <c r="K4">
        <v>6186</v>
      </c>
      <c r="L4">
        <v>1006</v>
      </c>
      <c r="M4">
        <v>1066</v>
      </c>
      <c r="N4">
        <v>1110</v>
      </c>
      <c r="O4">
        <v>1020</v>
      </c>
      <c r="P4">
        <v>801</v>
      </c>
      <c r="Q4">
        <v>715</v>
      </c>
      <c r="R4">
        <v>638</v>
      </c>
      <c r="S4">
        <v>641</v>
      </c>
      <c r="T4">
        <v>675</v>
      </c>
      <c r="U4">
        <v>572</v>
      </c>
      <c r="V4">
        <v>497</v>
      </c>
      <c r="W4">
        <v>417</v>
      </c>
      <c r="X4">
        <v>389</v>
      </c>
      <c r="Y4">
        <v>867</v>
      </c>
      <c r="Z4">
        <v>0</v>
      </c>
      <c r="AA4">
        <v>1036</v>
      </c>
      <c r="AB4">
        <v>1097</v>
      </c>
      <c r="AC4">
        <v>1089</v>
      </c>
      <c r="AD4">
        <v>901</v>
      </c>
      <c r="AE4">
        <v>781</v>
      </c>
      <c r="AF4">
        <v>804</v>
      </c>
      <c r="AG4">
        <v>833</v>
      </c>
      <c r="AH4">
        <v>791</v>
      </c>
      <c r="AI4">
        <v>707</v>
      </c>
      <c r="AJ4">
        <v>646</v>
      </c>
      <c r="AK4">
        <v>479</v>
      </c>
      <c r="AL4">
        <v>441</v>
      </c>
      <c r="AM4">
        <v>405</v>
      </c>
      <c r="AN4">
        <v>763</v>
      </c>
      <c r="AO4">
        <v>0</v>
      </c>
      <c r="AP4">
        <v>20824</v>
      </c>
      <c r="AQ4">
        <v>339</v>
      </c>
      <c r="AR4">
        <v>6</v>
      </c>
      <c r="AS4">
        <v>15</v>
      </c>
      <c r="AT4">
        <v>3</v>
      </c>
      <c r="AU4">
        <v>1593</v>
      </c>
      <c r="AV4">
        <v>835</v>
      </c>
      <c r="AW4">
        <v>758</v>
      </c>
      <c r="AX4">
        <v>2459</v>
      </c>
      <c r="AY4">
        <v>3427</v>
      </c>
      <c r="AZ4">
        <v>3120</v>
      </c>
      <c r="BA4">
        <v>307</v>
      </c>
      <c r="BB4">
        <v>38</v>
      </c>
      <c r="BC4">
        <v>47</v>
      </c>
      <c r="BD4">
        <v>105</v>
      </c>
      <c r="BE4">
        <v>103</v>
      </c>
      <c r="BF4">
        <v>112</v>
      </c>
      <c r="BG4">
        <v>84</v>
      </c>
      <c r="BH4">
        <v>118</v>
      </c>
      <c r="BI4">
        <v>72</v>
      </c>
      <c r="BJ4">
        <v>68</v>
      </c>
      <c r="BK4">
        <v>83</v>
      </c>
      <c r="BL4">
        <v>65</v>
      </c>
      <c r="BM4">
        <v>73</v>
      </c>
      <c r="BN4">
        <v>45</v>
      </c>
      <c r="BO4">
        <v>45</v>
      </c>
      <c r="BP4">
        <v>57</v>
      </c>
      <c r="BQ4">
        <v>54</v>
      </c>
      <c r="BR4">
        <v>47</v>
      </c>
      <c r="BS4">
        <v>44</v>
      </c>
      <c r="BT4">
        <v>44</v>
      </c>
      <c r="BU4">
        <v>44</v>
      </c>
      <c r="BV4">
        <v>37</v>
      </c>
      <c r="BW4">
        <v>32</v>
      </c>
      <c r="BX4">
        <v>29</v>
      </c>
      <c r="BY4">
        <v>18</v>
      </c>
      <c r="BZ4">
        <v>25</v>
      </c>
      <c r="CA4">
        <v>21</v>
      </c>
      <c r="CB4">
        <v>45</v>
      </c>
      <c r="CC4">
        <v>38</v>
      </c>
      <c r="CD4">
        <v>736</v>
      </c>
      <c r="CE4">
        <v>563</v>
      </c>
      <c r="CF4">
        <v>98</v>
      </c>
      <c r="CG4">
        <v>191</v>
      </c>
      <c r="CH4">
        <v>3820</v>
      </c>
      <c r="CI4">
        <v>1611</v>
      </c>
      <c r="CJ4">
        <v>15499</v>
      </c>
      <c r="CK4">
        <v>5688</v>
      </c>
      <c r="CL4">
        <v>558</v>
      </c>
      <c r="CM4">
        <v>956</v>
      </c>
      <c r="CN4">
        <v>939</v>
      </c>
      <c r="CO4">
        <v>1131</v>
      </c>
      <c r="CP4">
        <v>859</v>
      </c>
      <c r="CQ4">
        <v>988</v>
      </c>
      <c r="CR4">
        <v>3798</v>
      </c>
      <c r="CS4">
        <v>8606</v>
      </c>
      <c r="CT4">
        <v>2021</v>
      </c>
      <c r="CU4">
        <v>611</v>
      </c>
      <c r="CV4">
        <v>171</v>
      </c>
      <c r="CW4">
        <v>508</v>
      </c>
      <c r="CX4">
        <v>41</v>
      </c>
      <c r="CY4">
        <v>3402</v>
      </c>
      <c r="CZ4">
        <v>1443</v>
      </c>
      <c r="DA4">
        <v>17</v>
      </c>
      <c r="DB4">
        <v>558</v>
      </c>
      <c r="DC4">
        <v>11</v>
      </c>
      <c r="DD4">
        <v>1354</v>
      </c>
      <c r="DE4">
        <v>1166</v>
      </c>
      <c r="DF4">
        <v>1112</v>
      </c>
      <c r="DG4">
        <v>2554</v>
      </c>
      <c r="DH4">
        <v>0</v>
      </c>
      <c r="DI4">
        <v>0</v>
      </c>
      <c r="DJ4">
        <v>15001</v>
      </c>
      <c r="DK4">
        <v>0</v>
      </c>
      <c r="DL4">
        <v>0</v>
      </c>
      <c r="DM4">
        <v>88</v>
      </c>
      <c r="DN4">
        <v>6</v>
      </c>
      <c r="DO4">
        <v>4</v>
      </c>
      <c r="DP4">
        <v>2</v>
      </c>
      <c r="DQ4">
        <v>0</v>
      </c>
      <c r="DR4">
        <v>0</v>
      </c>
      <c r="DS4">
        <v>1</v>
      </c>
      <c r="DT4">
        <v>0</v>
      </c>
      <c r="DU4">
        <v>0</v>
      </c>
      <c r="DV4">
        <v>708</v>
      </c>
      <c r="DW4">
        <v>804</v>
      </c>
      <c r="DX4">
        <v>783</v>
      </c>
      <c r="DY4">
        <v>970</v>
      </c>
      <c r="DZ4">
        <v>357</v>
      </c>
      <c r="EA4">
        <v>262</v>
      </c>
      <c r="EB4">
        <v>158</v>
      </c>
      <c r="EC4">
        <v>123</v>
      </c>
      <c r="ED4">
        <v>147</v>
      </c>
      <c r="EE4">
        <v>145</v>
      </c>
      <c r="EF4">
        <v>285</v>
      </c>
      <c r="EG4">
        <v>309</v>
      </c>
      <c r="EH4">
        <v>94</v>
      </c>
      <c r="EI4">
        <v>92</v>
      </c>
      <c r="EJ4">
        <v>1105</v>
      </c>
      <c r="EK4">
        <v>1216</v>
      </c>
      <c r="EL4">
        <v>444</v>
      </c>
      <c r="EM4">
        <v>194</v>
      </c>
      <c r="EN4">
        <v>219</v>
      </c>
      <c r="EO4">
        <v>436</v>
      </c>
      <c r="EP4">
        <v>122</v>
      </c>
      <c r="EQ4">
        <v>6059</v>
      </c>
      <c r="ER4">
        <v>5867</v>
      </c>
      <c r="ES4">
        <v>192</v>
      </c>
      <c r="ET4">
        <v>1794</v>
      </c>
      <c r="EU4">
        <v>3456</v>
      </c>
      <c r="EV4">
        <v>3404</v>
      </c>
      <c r="EW4">
        <v>52</v>
      </c>
      <c r="EX4">
        <v>4702</v>
      </c>
      <c r="EY4" s="26">
        <v>36.574007000000002</v>
      </c>
      <c r="EZ4" s="26">
        <v>16.707903000000002</v>
      </c>
      <c r="FA4" s="26">
        <v>14.655799999999999</v>
      </c>
      <c r="FB4" s="26">
        <v>30.999853999999999</v>
      </c>
      <c r="FC4" s="26">
        <v>1.0624359999999999</v>
      </c>
      <c r="FD4">
        <v>1386</v>
      </c>
      <c r="FE4">
        <v>3155</v>
      </c>
      <c r="FF4">
        <v>285</v>
      </c>
      <c r="FG4">
        <v>1960</v>
      </c>
      <c r="FH4">
        <v>3</v>
      </c>
      <c r="FI4">
        <v>1455</v>
      </c>
      <c r="FJ4">
        <v>1267</v>
      </c>
      <c r="FK4" s="26" t="s">
        <v>359</v>
      </c>
      <c r="FL4" s="26" t="s">
        <v>359</v>
      </c>
      <c r="FM4" s="26" t="s">
        <v>359</v>
      </c>
      <c r="FN4" s="26" t="s">
        <v>359</v>
      </c>
      <c r="FO4" s="28">
        <v>6634</v>
      </c>
      <c r="FP4" s="28">
        <v>3779</v>
      </c>
      <c r="FQ4">
        <v>1550</v>
      </c>
      <c r="FR4">
        <v>436</v>
      </c>
      <c r="FS4">
        <v>162</v>
      </c>
      <c r="FT4">
        <v>35</v>
      </c>
      <c r="FU4">
        <v>4374</v>
      </c>
      <c r="FV4">
        <v>61</v>
      </c>
      <c r="FW4">
        <v>49</v>
      </c>
      <c r="FX4">
        <v>1</v>
      </c>
      <c r="FY4">
        <v>7275</v>
      </c>
      <c r="FZ4">
        <v>3494</v>
      </c>
      <c r="GA4">
        <v>1448</v>
      </c>
      <c r="GB4">
        <v>467</v>
      </c>
      <c r="GC4">
        <v>201</v>
      </c>
      <c r="GD4">
        <v>39</v>
      </c>
      <c r="GE4">
        <v>5052</v>
      </c>
      <c r="GF4">
        <v>64</v>
      </c>
      <c r="GG4">
        <v>41</v>
      </c>
      <c r="GH4">
        <v>4</v>
      </c>
      <c r="GI4">
        <v>599</v>
      </c>
      <c r="GJ4">
        <v>714</v>
      </c>
      <c r="GK4">
        <v>750</v>
      </c>
      <c r="GL4">
        <v>720</v>
      </c>
      <c r="GM4">
        <v>450</v>
      </c>
      <c r="GN4">
        <v>386</v>
      </c>
      <c r="GO4">
        <v>358</v>
      </c>
      <c r="GP4">
        <v>398</v>
      </c>
      <c r="GQ4">
        <v>438</v>
      </c>
      <c r="GR4">
        <v>360</v>
      </c>
      <c r="GS4">
        <v>323</v>
      </c>
      <c r="GT4">
        <v>250</v>
      </c>
      <c r="GU4">
        <v>273</v>
      </c>
      <c r="GV4">
        <v>198</v>
      </c>
      <c r="GW4">
        <v>171</v>
      </c>
      <c r="GX4">
        <v>134</v>
      </c>
      <c r="GY4">
        <v>60</v>
      </c>
      <c r="GZ4">
        <v>52</v>
      </c>
      <c r="HA4">
        <v>618</v>
      </c>
      <c r="HB4">
        <v>763</v>
      </c>
      <c r="HC4">
        <v>743</v>
      </c>
      <c r="HD4">
        <v>618</v>
      </c>
      <c r="HE4">
        <v>502</v>
      </c>
      <c r="HF4">
        <v>513</v>
      </c>
      <c r="HG4">
        <v>556</v>
      </c>
      <c r="HH4">
        <v>535</v>
      </c>
      <c r="HI4">
        <v>492</v>
      </c>
      <c r="HJ4">
        <v>429</v>
      </c>
      <c r="HK4">
        <v>324</v>
      </c>
      <c r="HL4">
        <v>323</v>
      </c>
      <c r="HM4">
        <v>293</v>
      </c>
      <c r="HN4">
        <v>200</v>
      </c>
      <c r="HO4">
        <v>144</v>
      </c>
      <c r="HP4">
        <v>112</v>
      </c>
      <c r="HQ4">
        <v>56</v>
      </c>
      <c r="HR4">
        <v>54</v>
      </c>
      <c r="HS4">
        <v>5184</v>
      </c>
      <c r="HT4">
        <v>0</v>
      </c>
      <c r="HU4">
        <v>1</v>
      </c>
      <c r="HV4">
        <v>0</v>
      </c>
      <c r="HW4">
        <v>19</v>
      </c>
      <c r="HX4">
        <v>0</v>
      </c>
      <c r="HY4">
        <v>5</v>
      </c>
      <c r="HZ4">
        <v>2</v>
      </c>
      <c r="IA4">
        <v>551</v>
      </c>
      <c r="IB4">
        <v>952</v>
      </c>
      <c r="IC4">
        <v>936</v>
      </c>
      <c r="ID4">
        <v>1127</v>
      </c>
      <c r="IE4">
        <v>856</v>
      </c>
      <c r="IF4">
        <v>476</v>
      </c>
      <c r="IG4">
        <v>220</v>
      </c>
      <c r="IH4">
        <v>119</v>
      </c>
      <c r="II4">
        <v>170</v>
      </c>
      <c r="IJ4">
        <v>1754</v>
      </c>
      <c r="IK4">
        <v>1595</v>
      </c>
      <c r="IL4">
        <v>1213</v>
      </c>
      <c r="IM4">
        <v>586</v>
      </c>
      <c r="IN4">
        <v>182</v>
      </c>
      <c r="IO4">
        <v>55</v>
      </c>
      <c r="IP4">
        <v>10</v>
      </c>
      <c r="IQ4">
        <v>8</v>
      </c>
      <c r="IR4">
        <v>4</v>
      </c>
      <c r="IS4">
        <v>3190</v>
      </c>
      <c r="IT4">
        <v>1572</v>
      </c>
      <c r="IU4">
        <v>509</v>
      </c>
      <c r="IV4">
        <v>111</v>
      </c>
      <c r="IW4">
        <v>25</v>
      </c>
      <c r="IX4">
        <v>3069</v>
      </c>
      <c r="IY4">
        <v>1945</v>
      </c>
      <c r="IZ4">
        <v>1</v>
      </c>
      <c r="JA4">
        <v>18</v>
      </c>
      <c r="JB4">
        <v>38</v>
      </c>
      <c r="JC4">
        <v>136</v>
      </c>
      <c r="JD4">
        <v>5275</v>
      </c>
      <c r="JE4">
        <v>132</v>
      </c>
      <c r="JF4">
        <v>0</v>
      </c>
      <c r="JH4" s="28">
        <v>6502.8335829619527</v>
      </c>
      <c r="JI4" s="28">
        <v>466.05937132265137</v>
      </c>
      <c r="JJ4">
        <v>322</v>
      </c>
      <c r="JK4">
        <v>4382</v>
      </c>
      <c r="JL4">
        <v>703</v>
      </c>
      <c r="JM4">
        <v>0</v>
      </c>
      <c r="JN4">
        <v>4279</v>
      </c>
      <c r="JO4">
        <v>3056</v>
      </c>
      <c r="JP4">
        <v>839</v>
      </c>
      <c r="JQ4">
        <v>3308</v>
      </c>
      <c r="JR4">
        <v>4740</v>
      </c>
      <c r="JS4">
        <v>663</v>
      </c>
      <c r="JT4">
        <v>321</v>
      </c>
      <c r="JU4">
        <v>4290</v>
      </c>
      <c r="JV4">
        <v>559</v>
      </c>
      <c r="JW4" s="28"/>
      <c r="JX4" s="28"/>
      <c r="JY4" s="28"/>
      <c r="JZ4" s="28"/>
      <c r="KA4" s="28">
        <v>5346.9999808900002</v>
      </c>
      <c r="KB4">
        <v>20229</v>
      </c>
      <c r="KC4">
        <v>0</v>
      </c>
      <c r="KD4">
        <v>1</v>
      </c>
      <c r="KE4">
        <v>0</v>
      </c>
      <c r="KF4">
        <v>55</v>
      </c>
      <c r="KG4">
        <v>0</v>
      </c>
      <c r="KH4">
        <v>21</v>
      </c>
      <c r="KI4">
        <v>5</v>
      </c>
      <c r="KJ4">
        <v>1334</v>
      </c>
      <c r="KK4">
        <v>17155</v>
      </c>
      <c r="KL4">
        <v>2622</v>
      </c>
      <c r="KM4">
        <v>0</v>
      </c>
      <c r="KT4">
        <v>2939</v>
      </c>
      <c r="KU4">
        <v>2831</v>
      </c>
      <c r="KV4">
        <v>2265</v>
      </c>
      <c r="KW4">
        <v>406</v>
      </c>
      <c r="KX4">
        <v>194</v>
      </c>
      <c r="KZ4">
        <v>2267</v>
      </c>
      <c r="LA4">
        <v>347</v>
      </c>
      <c r="LB4">
        <v>134</v>
      </c>
      <c r="LD4">
        <v>1667</v>
      </c>
      <c r="LE4">
        <v>1687</v>
      </c>
      <c r="LF4">
        <v>1050</v>
      </c>
      <c r="LG4">
        <v>1297</v>
      </c>
      <c r="LH4">
        <v>14783</v>
      </c>
      <c r="LI4">
        <v>22</v>
      </c>
      <c r="LJ4">
        <v>1293</v>
      </c>
      <c r="LK4">
        <v>199</v>
      </c>
      <c r="LL4">
        <v>1290</v>
      </c>
      <c r="LM4">
        <v>1</v>
      </c>
      <c r="LN4">
        <v>916</v>
      </c>
      <c r="LO4">
        <v>613</v>
      </c>
      <c r="LP4">
        <v>15</v>
      </c>
      <c r="LQ4">
        <v>1242</v>
      </c>
      <c r="LR4">
        <v>181</v>
      </c>
      <c r="LS4">
        <v>1830</v>
      </c>
      <c r="LT4">
        <v>2</v>
      </c>
      <c r="LU4">
        <v>847</v>
      </c>
      <c r="LV4">
        <v>521</v>
      </c>
      <c r="LW4" s="44"/>
      <c r="LX4" s="44"/>
      <c r="LY4" s="44"/>
      <c r="LZ4">
        <v>5407</v>
      </c>
      <c r="MA4">
        <v>21111</v>
      </c>
      <c r="MB4">
        <v>31424</v>
      </c>
      <c r="MC4">
        <v>2866</v>
      </c>
      <c r="MD4" s="26">
        <v>15.876344</v>
      </c>
      <c r="ME4" s="26">
        <v>12.025478</v>
      </c>
      <c r="MF4" s="26">
        <v>50.639247999999995</v>
      </c>
      <c r="MG4" s="26">
        <v>34.327653999999995</v>
      </c>
      <c r="MH4" s="26">
        <v>5.9552429999999994</v>
      </c>
      <c r="MI4" s="26">
        <v>1.9974109999999998</v>
      </c>
      <c r="MJ4" s="26">
        <v>3.0885889999999998</v>
      </c>
      <c r="MK4" s="26">
        <v>2.4412799999999999</v>
      </c>
      <c r="ML4" s="26">
        <v>1.1096729999999999</v>
      </c>
      <c r="MM4" s="26">
        <v>43.480672999999996</v>
      </c>
      <c r="MN4" s="26">
        <v>20.861846</v>
      </c>
      <c r="MO4" s="26">
        <v>-3.1969999999999998E-2</v>
      </c>
      <c r="MP4" t="s">
        <v>1027</v>
      </c>
      <c r="MQ4">
        <v>1049</v>
      </c>
      <c r="MR4">
        <v>96</v>
      </c>
    </row>
    <row r="5" spans="1:356">
      <c r="A5" t="s">
        <v>43</v>
      </c>
      <c r="B5" t="s">
        <v>44</v>
      </c>
      <c r="C5">
        <v>25154</v>
      </c>
      <c r="D5">
        <v>27580</v>
      </c>
      <c r="E5">
        <v>26899</v>
      </c>
      <c r="F5">
        <f t="shared" si="0"/>
        <v>-681</v>
      </c>
      <c r="G5" s="26">
        <f t="shared" si="1"/>
        <v>-2.4691805656272692</v>
      </c>
      <c r="H5">
        <v>13185</v>
      </c>
      <c r="I5">
        <v>13714</v>
      </c>
      <c r="J5">
        <v>6247</v>
      </c>
      <c r="K5">
        <v>20652</v>
      </c>
      <c r="L5">
        <v>1258</v>
      </c>
      <c r="M5">
        <v>1417</v>
      </c>
      <c r="N5">
        <v>1289</v>
      </c>
      <c r="O5">
        <v>1102</v>
      </c>
      <c r="P5">
        <v>948</v>
      </c>
      <c r="Q5">
        <v>935</v>
      </c>
      <c r="R5">
        <v>856</v>
      </c>
      <c r="S5">
        <v>844</v>
      </c>
      <c r="T5">
        <v>763</v>
      </c>
      <c r="U5">
        <v>695</v>
      </c>
      <c r="V5">
        <v>728</v>
      </c>
      <c r="W5">
        <v>619</v>
      </c>
      <c r="X5">
        <v>490</v>
      </c>
      <c r="Y5">
        <v>1240</v>
      </c>
      <c r="Z5">
        <v>1</v>
      </c>
      <c r="AA5">
        <v>1403</v>
      </c>
      <c r="AB5">
        <v>1335</v>
      </c>
      <c r="AC5">
        <v>1275</v>
      </c>
      <c r="AD5">
        <v>1058</v>
      </c>
      <c r="AE5">
        <v>1043</v>
      </c>
      <c r="AF5">
        <v>1115</v>
      </c>
      <c r="AG5">
        <v>1012</v>
      </c>
      <c r="AH5">
        <v>931</v>
      </c>
      <c r="AI5">
        <v>839</v>
      </c>
      <c r="AJ5">
        <v>769</v>
      </c>
      <c r="AK5">
        <v>712</v>
      </c>
      <c r="AL5">
        <v>592</v>
      </c>
      <c r="AM5">
        <v>471</v>
      </c>
      <c r="AN5">
        <v>1157</v>
      </c>
      <c r="AO5">
        <v>2</v>
      </c>
      <c r="AP5">
        <v>25811</v>
      </c>
      <c r="AQ5">
        <v>762</v>
      </c>
      <c r="AR5">
        <v>69</v>
      </c>
      <c r="AS5">
        <v>247</v>
      </c>
      <c r="AT5">
        <v>10</v>
      </c>
      <c r="AU5">
        <v>34</v>
      </c>
      <c r="AV5">
        <v>16</v>
      </c>
      <c r="AW5">
        <v>18</v>
      </c>
      <c r="AX5">
        <v>88</v>
      </c>
      <c r="AY5">
        <v>62</v>
      </c>
      <c r="AZ5">
        <v>42</v>
      </c>
      <c r="BA5">
        <v>20</v>
      </c>
      <c r="BB5">
        <v>0</v>
      </c>
      <c r="BC5">
        <v>0</v>
      </c>
      <c r="BD5">
        <v>0</v>
      </c>
      <c r="BE5">
        <v>0</v>
      </c>
      <c r="BF5">
        <v>1</v>
      </c>
      <c r="BG5">
        <v>1</v>
      </c>
      <c r="BH5">
        <v>1</v>
      </c>
      <c r="BI5">
        <v>3</v>
      </c>
      <c r="BJ5">
        <v>2</v>
      </c>
      <c r="BK5">
        <v>2</v>
      </c>
      <c r="BL5">
        <v>0</v>
      </c>
      <c r="BM5">
        <v>3</v>
      </c>
      <c r="BN5">
        <v>2</v>
      </c>
      <c r="BO5">
        <v>2</v>
      </c>
      <c r="BP5">
        <v>2</v>
      </c>
      <c r="BQ5">
        <v>2</v>
      </c>
      <c r="BR5">
        <v>1</v>
      </c>
      <c r="BS5">
        <v>2</v>
      </c>
      <c r="BT5">
        <v>2</v>
      </c>
      <c r="BU5">
        <v>0</v>
      </c>
      <c r="BV5">
        <v>2</v>
      </c>
      <c r="BW5">
        <v>0</v>
      </c>
      <c r="BX5">
        <v>1</v>
      </c>
      <c r="BY5">
        <v>0</v>
      </c>
      <c r="BZ5">
        <v>0</v>
      </c>
      <c r="CA5">
        <v>0</v>
      </c>
      <c r="CB5">
        <v>2</v>
      </c>
      <c r="CC5">
        <v>3</v>
      </c>
      <c r="CD5">
        <v>15</v>
      </c>
      <c r="CE5">
        <v>18</v>
      </c>
      <c r="CF5">
        <v>1</v>
      </c>
      <c r="CG5">
        <v>0</v>
      </c>
      <c r="CH5">
        <v>5210</v>
      </c>
      <c r="CI5">
        <v>2394</v>
      </c>
      <c r="CJ5">
        <v>18921</v>
      </c>
      <c r="CK5">
        <v>7904</v>
      </c>
      <c r="CL5">
        <v>992</v>
      </c>
      <c r="CM5">
        <v>1404</v>
      </c>
      <c r="CN5">
        <v>1556</v>
      </c>
      <c r="CO5">
        <v>1616</v>
      </c>
      <c r="CP5">
        <v>1076</v>
      </c>
      <c r="CQ5">
        <v>960</v>
      </c>
      <c r="CR5">
        <v>5007</v>
      </c>
      <c r="CS5">
        <v>10089</v>
      </c>
      <c r="CT5">
        <v>2347</v>
      </c>
      <c r="CU5">
        <v>581</v>
      </c>
      <c r="CV5">
        <v>279</v>
      </c>
      <c r="CW5">
        <v>793</v>
      </c>
      <c r="CX5">
        <v>122</v>
      </c>
      <c r="CY5">
        <v>4565</v>
      </c>
      <c r="CZ5">
        <v>1959</v>
      </c>
      <c r="DA5">
        <v>57</v>
      </c>
      <c r="DB5">
        <v>992</v>
      </c>
      <c r="DC5">
        <v>29</v>
      </c>
      <c r="DD5">
        <v>2411</v>
      </c>
      <c r="DE5">
        <v>3760</v>
      </c>
      <c r="DF5">
        <v>3550</v>
      </c>
      <c r="DG5">
        <v>10931</v>
      </c>
      <c r="DH5">
        <v>0</v>
      </c>
      <c r="DI5">
        <v>6247</v>
      </c>
      <c r="DJ5">
        <v>0</v>
      </c>
      <c r="DK5">
        <v>0</v>
      </c>
      <c r="DL5">
        <v>0</v>
      </c>
      <c r="DM5">
        <v>163</v>
      </c>
      <c r="DN5">
        <v>22</v>
      </c>
      <c r="DO5">
        <v>10</v>
      </c>
      <c r="DP5">
        <v>11</v>
      </c>
      <c r="DQ5">
        <v>0</v>
      </c>
      <c r="DR5">
        <v>1</v>
      </c>
      <c r="DS5">
        <v>0</v>
      </c>
      <c r="DT5">
        <v>0</v>
      </c>
      <c r="DU5">
        <v>0</v>
      </c>
      <c r="DV5">
        <v>746</v>
      </c>
      <c r="DW5">
        <v>901</v>
      </c>
      <c r="DX5">
        <v>1222</v>
      </c>
      <c r="DY5">
        <v>1375</v>
      </c>
      <c r="DZ5">
        <v>495</v>
      </c>
      <c r="EA5">
        <v>385</v>
      </c>
      <c r="EB5">
        <v>331</v>
      </c>
      <c r="EC5">
        <v>304</v>
      </c>
      <c r="ED5">
        <v>257</v>
      </c>
      <c r="EE5">
        <v>296</v>
      </c>
      <c r="EF5">
        <v>400</v>
      </c>
      <c r="EG5">
        <v>417</v>
      </c>
      <c r="EH5">
        <v>167</v>
      </c>
      <c r="EI5">
        <v>182</v>
      </c>
      <c r="EJ5">
        <v>1023</v>
      </c>
      <c r="EK5">
        <v>1565</v>
      </c>
      <c r="EL5">
        <v>538</v>
      </c>
      <c r="EM5">
        <v>395</v>
      </c>
      <c r="EN5">
        <v>359</v>
      </c>
      <c r="EO5">
        <v>497</v>
      </c>
      <c r="EP5">
        <v>216</v>
      </c>
      <c r="EQ5">
        <v>7985</v>
      </c>
      <c r="ER5">
        <v>7919</v>
      </c>
      <c r="ES5">
        <v>66</v>
      </c>
      <c r="ET5">
        <v>1880</v>
      </c>
      <c r="EU5">
        <v>4494</v>
      </c>
      <c r="EV5">
        <v>4472</v>
      </c>
      <c r="EW5">
        <v>22</v>
      </c>
      <c r="EX5">
        <v>5885</v>
      </c>
      <c r="EY5" s="26">
        <v>55.257601000000001</v>
      </c>
      <c r="EZ5" s="26">
        <v>10.029561000000001</v>
      </c>
      <c r="FA5" s="26">
        <v>13.703547</v>
      </c>
      <c r="FB5" s="26">
        <v>20.629223</v>
      </c>
      <c r="FC5" s="26">
        <v>0.38006800000000002</v>
      </c>
      <c r="FD5">
        <v>1564</v>
      </c>
      <c r="FE5">
        <v>4195</v>
      </c>
      <c r="FF5">
        <v>520</v>
      </c>
      <c r="FG5">
        <v>2695</v>
      </c>
      <c r="FH5">
        <v>10</v>
      </c>
      <c r="FI5">
        <v>2410</v>
      </c>
      <c r="FJ5">
        <v>1074</v>
      </c>
      <c r="FK5" s="26" t="s">
        <v>359</v>
      </c>
      <c r="FL5" s="26" t="s">
        <v>359</v>
      </c>
      <c r="FM5" s="26" t="s">
        <v>359</v>
      </c>
      <c r="FN5" s="26" t="s">
        <v>359</v>
      </c>
      <c r="FO5" s="28">
        <v>7650</v>
      </c>
      <c r="FP5" s="28">
        <v>5528</v>
      </c>
      <c r="FQ5">
        <v>1663</v>
      </c>
      <c r="FR5">
        <v>224</v>
      </c>
      <c r="FS5">
        <v>45</v>
      </c>
      <c r="FT5">
        <v>59</v>
      </c>
      <c r="FU5">
        <v>5335</v>
      </c>
      <c r="FV5">
        <v>51</v>
      </c>
      <c r="FW5">
        <v>73</v>
      </c>
      <c r="FX5">
        <v>7</v>
      </c>
      <c r="FY5">
        <v>8446</v>
      </c>
      <c r="FZ5">
        <v>5262</v>
      </c>
      <c r="GA5">
        <v>1680</v>
      </c>
      <c r="GB5">
        <v>314</v>
      </c>
      <c r="GC5">
        <v>62</v>
      </c>
      <c r="GD5">
        <v>68</v>
      </c>
      <c r="GE5">
        <v>6019</v>
      </c>
      <c r="GF5">
        <v>44</v>
      </c>
      <c r="GG5">
        <v>60</v>
      </c>
      <c r="GH5">
        <v>6</v>
      </c>
      <c r="GI5">
        <v>695</v>
      </c>
      <c r="GJ5">
        <v>857</v>
      </c>
      <c r="GK5">
        <v>812</v>
      </c>
      <c r="GL5">
        <v>714</v>
      </c>
      <c r="GM5">
        <v>502</v>
      </c>
      <c r="GN5">
        <v>481</v>
      </c>
      <c r="GO5">
        <v>465</v>
      </c>
      <c r="GP5">
        <v>495</v>
      </c>
      <c r="GQ5">
        <v>459</v>
      </c>
      <c r="GR5">
        <v>401</v>
      </c>
      <c r="GS5">
        <v>420</v>
      </c>
      <c r="GT5">
        <v>327</v>
      </c>
      <c r="GU5">
        <v>288</v>
      </c>
      <c r="GV5">
        <v>241</v>
      </c>
      <c r="GW5">
        <v>183</v>
      </c>
      <c r="GX5">
        <v>136</v>
      </c>
      <c r="GY5">
        <v>90</v>
      </c>
      <c r="GZ5">
        <v>84</v>
      </c>
      <c r="HA5">
        <v>779</v>
      </c>
      <c r="HB5">
        <v>834</v>
      </c>
      <c r="HC5">
        <v>765</v>
      </c>
      <c r="HD5">
        <v>693</v>
      </c>
      <c r="HE5">
        <v>624</v>
      </c>
      <c r="HF5">
        <v>659</v>
      </c>
      <c r="HG5">
        <v>617</v>
      </c>
      <c r="HH5">
        <v>586</v>
      </c>
      <c r="HI5">
        <v>539</v>
      </c>
      <c r="HJ5">
        <v>473</v>
      </c>
      <c r="HK5">
        <v>442</v>
      </c>
      <c r="HL5">
        <v>385</v>
      </c>
      <c r="HM5">
        <v>308</v>
      </c>
      <c r="HN5">
        <v>259</v>
      </c>
      <c r="HO5">
        <v>167</v>
      </c>
      <c r="HP5">
        <v>148</v>
      </c>
      <c r="HQ5">
        <v>83</v>
      </c>
      <c r="HR5">
        <v>85</v>
      </c>
      <c r="HS5">
        <v>5999</v>
      </c>
      <c r="HT5">
        <v>1</v>
      </c>
      <c r="HU5">
        <v>81</v>
      </c>
      <c r="HV5">
        <v>0</v>
      </c>
      <c r="HW5">
        <v>23</v>
      </c>
      <c r="HX5">
        <v>2</v>
      </c>
      <c r="HY5">
        <v>0</v>
      </c>
      <c r="HZ5">
        <v>1</v>
      </c>
      <c r="IA5">
        <v>985</v>
      </c>
      <c r="IB5">
        <v>1399</v>
      </c>
      <c r="IC5">
        <v>1551</v>
      </c>
      <c r="ID5">
        <v>1612</v>
      </c>
      <c r="IE5">
        <v>1072</v>
      </c>
      <c r="IF5">
        <v>539</v>
      </c>
      <c r="IG5">
        <v>250</v>
      </c>
      <c r="IH5">
        <v>93</v>
      </c>
      <c r="II5">
        <v>78</v>
      </c>
      <c r="IJ5">
        <v>1232</v>
      </c>
      <c r="IK5">
        <v>1800</v>
      </c>
      <c r="IL5">
        <v>2252</v>
      </c>
      <c r="IM5">
        <v>1471</v>
      </c>
      <c r="IN5">
        <v>583</v>
      </c>
      <c r="IO5">
        <v>176</v>
      </c>
      <c r="IP5">
        <v>39</v>
      </c>
      <c r="IQ5">
        <v>20</v>
      </c>
      <c r="IR5">
        <v>6</v>
      </c>
      <c r="IS5">
        <v>3334</v>
      </c>
      <c r="IT5">
        <v>2951</v>
      </c>
      <c r="IU5">
        <v>1040</v>
      </c>
      <c r="IV5">
        <v>206</v>
      </c>
      <c r="IW5">
        <v>48</v>
      </c>
      <c r="IX5">
        <v>1070</v>
      </c>
      <c r="IY5">
        <v>741</v>
      </c>
      <c r="IZ5">
        <v>3</v>
      </c>
      <c r="JA5">
        <v>169</v>
      </c>
      <c r="JB5">
        <v>1</v>
      </c>
      <c r="JC5">
        <v>31</v>
      </c>
      <c r="JD5">
        <v>7265</v>
      </c>
      <c r="JE5">
        <v>313</v>
      </c>
      <c r="JF5">
        <v>1</v>
      </c>
      <c r="JH5" s="28">
        <v>6188.8314285182187</v>
      </c>
      <c r="JI5" s="28">
        <v>698.5044911695818</v>
      </c>
      <c r="JJ5">
        <v>629</v>
      </c>
      <c r="JK5">
        <v>6504</v>
      </c>
      <c r="JL5">
        <v>446</v>
      </c>
      <c r="JM5">
        <v>0</v>
      </c>
      <c r="JN5">
        <v>6237</v>
      </c>
      <c r="JO5">
        <v>4555</v>
      </c>
      <c r="JP5">
        <v>1430</v>
      </c>
      <c r="JQ5">
        <v>4265</v>
      </c>
      <c r="JR5">
        <v>6099</v>
      </c>
      <c r="JS5">
        <v>568</v>
      </c>
      <c r="JT5">
        <v>988</v>
      </c>
      <c r="JU5">
        <v>5265</v>
      </c>
      <c r="JV5">
        <v>783</v>
      </c>
      <c r="JW5" s="28"/>
      <c r="JX5" s="28"/>
      <c r="JY5" s="28"/>
      <c r="JZ5" s="28"/>
      <c r="KA5" s="28">
        <v>7490.0000303699999</v>
      </c>
      <c r="KB5">
        <v>21378</v>
      </c>
      <c r="KC5">
        <v>2</v>
      </c>
      <c r="KD5">
        <v>204</v>
      </c>
      <c r="KE5">
        <v>0</v>
      </c>
      <c r="KF5">
        <v>62</v>
      </c>
      <c r="KG5">
        <v>6</v>
      </c>
      <c r="KH5">
        <v>0</v>
      </c>
      <c r="KI5">
        <v>5</v>
      </c>
      <c r="KJ5">
        <v>2184</v>
      </c>
      <c r="KK5">
        <v>23016</v>
      </c>
      <c r="KL5">
        <v>1557</v>
      </c>
      <c r="KM5">
        <v>0</v>
      </c>
      <c r="KT5">
        <v>3511</v>
      </c>
      <c r="KU5">
        <v>3544</v>
      </c>
      <c r="KV5">
        <v>2896</v>
      </c>
      <c r="KW5">
        <v>413</v>
      </c>
      <c r="KX5">
        <v>142</v>
      </c>
      <c r="KZ5">
        <v>2849</v>
      </c>
      <c r="LA5">
        <v>441</v>
      </c>
      <c r="LB5">
        <v>185</v>
      </c>
      <c r="LD5">
        <v>2003</v>
      </c>
      <c r="LE5">
        <v>1986</v>
      </c>
      <c r="LF5">
        <v>1163</v>
      </c>
      <c r="LG5">
        <v>1433</v>
      </c>
      <c r="LH5">
        <v>18919</v>
      </c>
      <c r="LI5">
        <v>24</v>
      </c>
      <c r="LJ5">
        <v>1440</v>
      </c>
      <c r="LK5">
        <v>332</v>
      </c>
      <c r="LL5">
        <v>1842</v>
      </c>
      <c r="LM5">
        <v>7</v>
      </c>
      <c r="LN5">
        <v>1393</v>
      </c>
      <c r="LO5">
        <v>415</v>
      </c>
      <c r="LP5">
        <v>22</v>
      </c>
      <c r="LQ5">
        <v>1526</v>
      </c>
      <c r="LR5">
        <v>299</v>
      </c>
      <c r="LS5">
        <v>2160</v>
      </c>
      <c r="LT5">
        <v>9</v>
      </c>
      <c r="LU5">
        <v>1398</v>
      </c>
      <c r="LV5">
        <v>374</v>
      </c>
      <c r="LW5" s="44"/>
      <c r="LX5" s="44"/>
      <c r="LY5" s="44"/>
      <c r="LZ5">
        <v>7579</v>
      </c>
      <c r="MA5">
        <v>26757</v>
      </c>
      <c r="MB5">
        <v>28380</v>
      </c>
      <c r="MC5">
        <v>95</v>
      </c>
      <c r="MD5" s="26">
        <v>13.721655</v>
      </c>
      <c r="ME5" s="26">
        <v>9.4645869999999999</v>
      </c>
      <c r="MF5" s="26">
        <v>50.499497999999996</v>
      </c>
      <c r="MG5" s="26">
        <v>40.113014999999997</v>
      </c>
      <c r="MH5" s="26">
        <v>8.2992480000000004</v>
      </c>
      <c r="MI5" s="26">
        <v>3.865945</v>
      </c>
      <c r="MJ5" s="26">
        <v>16.242248</v>
      </c>
      <c r="MK5" s="26">
        <v>4.1298319999999995</v>
      </c>
      <c r="ML5" s="26">
        <v>1.1742969999999999</v>
      </c>
      <c r="MM5" s="26">
        <v>39.899723000000002</v>
      </c>
      <c r="MN5" s="26">
        <v>17.706820999999998</v>
      </c>
      <c r="MO5" s="26">
        <v>3.9883999999999996E-2</v>
      </c>
      <c r="MP5" t="s">
        <v>1027</v>
      </c>
      <c r="MQ5">
        <v>982</v>
      </c>
      <c r="MR5">
        <v>93</v>
      </c>
    </row>
    <row r="6" spans="1:356">
      <c r="A6" t="s">
        <v>261</v>
      </c>
      <c r="B6" t="s">
        <v>262</v>
      </c>
      <c r="C6">
        <v>3635</v>
      </c>
      <c r="D6">
        <v>5072</v>
      </c>
      <c r="E6">
        <v>8480</v>
      </c>
      <c r="F6">
        <f t="shared" si="0"/>
        <v>3408</v>
      </c>
      <c r="G6" s="26">
        <f t="shared" si="1"/>
        <v>67.192429022082024</v>
      </c>
      <c r="H6">
        <v>4040</v>
      </c>
      <c r="I6">
        <v>4440</v>
      </c>
      <c r="J6">
        <v>0</v>
      </c>
      <c r="K6">
        <v>8480</v>
      </c>
      <c r="L6">
        <v>571</v>
      </c>
      <c r="M6">
        <v>657</v>
      </c>
      <c r="N6">
        <v>587</v>
      </c>
      <c r="O6">
        <v>465</v>
      </c>
      <c r="P6">
        <v>377</v>
      </c>
      <c r="Q6">
        <v>304</v>
      </c>
      <c r="R6">
        <v>275</v>
      </c>
      <c r="S6">
        <v>177</v>
      </c>
      <c r="T6">
        <v>169</v>
      </c>
      <c r="U6">
        <v>116</v>
      </c>
      <c r="V6">
        <v>90</v>
      </c>
      <c r="W6">
        <v>74</v>
      </c>
      <c r="X6">
        <v>74</v>
      </c>
      <c r="Y6">
        <v>104</v>
      </c>
      <c r="Z6">
        <v>0</v>
      </c>
      <c r="AA6">
        <v>607</v>
      </c>
      <c r="AB6">
        <v>730</v>
      </c>
      <c r="AC6">
        <v>606</v>
      </c>
      <c r="AD6">
        <v>486</v>
      </c>
      <c r="AE6">
        <v>447</v>
      </c>
      <c r="AF6">
        <v>330</v>
      </c>
      <c r="AG6">
        <v>316</v>
      </c>
      <c r="AH6">
        <v>226</v>
      </c>
      <c r="AI6">
        <v>168</v>
      </c>
      <c r="AJ6">
        <v>116</v>
      </c>
      <c r="AK6">
        <v>99</v>
      </c>
      <c r="AL6">
        <v>89</v>
      </c>
      <c r="AM6">
        <v>74</v>
      </c>
      <c r="AN6">
        <v>146</v>
      </c>
      <c r="AO6">
        <v>0</v>
      </c>
      <c r="AP6">
        <v>8478</v>
      </c>
      <c r="AQ6">
        <v>0</v>
      </c>
      <c r="AR6">
        <v>0</v>
      </c>
      <c r="AS6">
        <v>1</v>
      </c>
      <c r="AT6">
        <v>1</v>
      </c>
      <c r="AU6">
        <v>7731</v>
      </c>
      <c r="AV6">
        <v>3698</v>
      </c>
      <c r="AW6">
        <v>4033</v>
      </c>
      <c r="AX6">
        <v>2488</v>
      </c>
      <c r="AY6">
        <v>4157</v>
      </c>
      <c r="AZ6">
        <v>4157</v>
      </c>
      <c r="BA6">
        <v>0</v>
      </c>
      <c r="BB6">
        <v>255</v>
      </c>
      <c r="BC6">
        <v>228</v>
      </c>
      <c r="BD6">
        <v>644</v>
      </c>
      <c r="BE6">
        <v>723</v>
      </c>
      <c r="BF6">
        <v>582</v>
      </c>
      <c r="BG6">
        <v>599</v>
      </c>
      <c r="BH6">
        <v>464</v>
      </c>
      <c r="BI6">
        <v>482</v>
      </c>
      <c r="BJ6">
        <v>374</v>
      </c>
      <c r="BK6">
        <v>447</v>
      </c>
      <c r="BL6">
        <v>304</v>
      </c>
      <c r="BM6">
        <v>330</v>
      </c>
      <c r="BN6">
        <v>275</v>
      </c>
      <c r="BO6">
        <v>314</v>
      </c>
      <c r="BP6">
        <v>176</v>
      </c>
      <c r="BQ6">
        <v>225</v>
      </c>
      <c r="BR6">
        <v>169</v>
      </c>
      <c r="BS6">
        <v>166</v>
      </c>
      <c r="BT6">
        <v>116</v>
      </c>
      <c r="BU6">
        <v>116</v>
      </c>
      <c r="BV6">
        <v>88</v>
      </c>
      <c r="BW6">
        <v>99</v>
      </c>
      <c r="BX6">
        <v>74</v>
      </c>
      <c r="BY6">
        <v>89</v>
      </c>
      <c r="BZ6">
        <v>73</v>
      </c>
      <c r="CA6">
        <v>72</v>
      </c>
      <c r="CB6">
        <v>104</v>
      </c>
      <c r="CC6">
        <v>143</v>
      </c>
      <c r="CD6">
        <v>1869</v>
      </c>
      <c r="CE6">
        <v>1360</v>
      </c>
      <c r="CF6">
        <v>1672</v>
      </c>
      <c r="CG6">
        <v>2491</v>
      </c>
      <c r="CH6">
        <v>1441</v>
      </c>
      <c r="CI6">
        <v>212</v>
      </c>
      <c r="CJ6">
        <v>7772</v>
      </c>
      <c r="CK6">
        <v>708</v>
      </c>
      <c r="CL6">
        <v>92</v>
      </c>
      <c r="CM6">
        <v>189</v>
      </c>
      <c r="CN6">
        <v>230</v>
      </c>
      <c r="CO6">
        <v>262</v>
      </c>
      <c r="CP6">
        <v>229</v>
      </c>
      <c r="CQ6">
        <v>651</v>
      </c>
      <c r="CR6">
        <v>1373</v>
      </c>
      <c r="CS6">
        <v>4967</v>
      </c>
      <c r="CT6">
        <v>205</v>
      </c>
      <c r="CU6">
        <v>108</v>
      </c>
      <c r="CV6">
        <v>40</v>
      </c>
      <c r="CW6">
        <v>134</v>
      </c>
      <c r="CX6">
        <v>0</v>
      </c>
      <c r="CY6">
        <v>1329</v>
      </c>
      <c r="CZ6">
        <v>232</v>
      </c>
      <c r="DA6">
        <v>0</v>
      </c>
      <c r="DB6">
        <v>92</v>
      </c>
      <c r="DC6">
        <v>0</v>
      </c>
      <c r="DD6">
        <v>247</v>
      </c>
      <c r="DE6">
        <v>804</v>
      </c>
      <c r="DF6">
        <v>2649</v>
      </c>
      <c r="DG6">
        <v>4780</v>
      </c>
      <c r="DH6">
        <v>0</v>
      </c>
      <c r="DI6">
        <v>0</v>
      </c>
      <c r="DJ6">
        <v>0</v>
      </c>
      <c r="DK6">
        <v>0</v>
      </c>
      <c r="DL6">
        <v>0</v>
      </c>
      <c r="DM6">
        <v>5</v>
      </c>
      <c r="DN6">
        <v>5</v>
      </c>
      <c r="DO6">
        <v>8</v>
      </c>
      <c r="DP6">
        <v>4</v>
      </c>
      <c r="DQ6">
        <v>0</v>
      </c>
      <c r="DR6">
        <v>0</v>
      </c>
      <c r="DS6">
        <v>0</v>
      </c>
      <c r="DT6">
        <v>0</v>
      </c>
      <c r="DU6">
        <v>0</v>
      </c>
      <c r="DV6">
        <v>109</v>
      </c>
      <c r="DW6">
        <v>147</v>
      </c>
      <c r="DX6">
        <v>164</v>
      </c>
      <c r="DY6">
        <v>228</v>
      </c>
      <c r="DZ6">
        <v>74</v>
      </c>
      <c r="EA6">
        <v>99</v>
      </c>
      <c r="EB6">
        <v>36</v>
      </c>
      <c r="EC6">
        <v>47</v>
      </c>
      <c r="ED6">
        <v>49</v>
      </c>
      <c r="EE6">
        <v>63</v>
      </c>
      <c r="EF6">
        <v>51</v>
      </c>
      <c r="EG6">
        <v>72</v>
      </c>
      <c r="EH6">
        <v>16</v>
      </c>
      <c r="EI6">
        <v>23</v>
      </c>
      <c r="EJ6">
        <v>210</v>
      </c>
      <c r="EK6">
        <v>328</v>
      </c>
      <c r="EL6">
        <v>136</v>
      </c>
      <c r="EM6">
        <v>60</v>
      </c>
      <c r="EN6">
        <v>83</v>
      </c>
      <c r="EO6">
        <v>94</v>
      </c>
      <c r="EP6">
        <v>35</v>
      </c>
      <c r="EQ6">
        <v>1804</v>
      </c>
      <c r="ER6">
        <v>1710</v>
      </c>
      <c r="ES6">
        <v>94</v>
      </c>
      <c r="ET6">
        <v>760</v>
      </c>
      <c r="EU6">
        <v>564</v>
      </c>
      <c r="EV6">
        <v>558</v>
      </c>
      <c r="EW6">
        <v>6</v>
      </c>
      <c r="EX6">
        <v>2285</v>
      </c>
      <c r="EY6" s="26">
        <v>79.850088</v>
      </c>
      <c r="EZ6" s="26">
        <v>15.608466</v>
      </c>
      <c r="FA6" s="26">
        <v>1.1904760000000001</v>
      </c>
      <c r="FB6" s="26">
        <v>3.1746029999999998</v>
      </c>
      <c r="FC6" s="26">
        <v>0.176367</v>
      </c>
      <c r="FD6">
        <v>291</v>
      </c>
      <c r="FE6">
        <v>1316</v>
      </c>
      <c r="FF6">
        <v>67</v>
      </c>
      <c r="FG6">
        <v>496</v>
      </c>
      <c r="FH6">
        <v>0</v>
      </c>
      <c r="FI6">
        <v>191</v>
      </c>
      <c r="FJ6">
        <v>7</v>
      </c>
      <c r="FK6" s="26" t="s">
        <v>359</v>
      </c>
      <c r="FL6" s="26" t="s">
        <v>359</v>
      </c>
      <c r="FM6" s="26" t="s">
        <v>359</v>
      </c>
      <c r="FN6" s="26" t="s">
        <v>359</v>
      </c>
      <c r="FO6" s="28">
        <v>3429</v>
      </c>
      <c r="FP6" s="28">
        <v>606</v>
      </c>
      <c r="FQ6">
        <v>15</v>
      </c>
      <c r="FR6">
        <v>0</v>
      </c>
      <c r="FS6">
        <v>1</v>
      </c>
      <c r="FT6">
        <v>2</v>
      </c>
      <c r="FU6">
        <v>3376</v>
      </c>
      <c r="FV6">
        <v>0</v>
      </c>
      <c r="FW6">
        <v>25</v>
      </c>
      <c r="FX6">
        <v>5</v>
      </c>
      <c r="FY6">
        <v>3865</v>
      </c>
      <c r="FZ6">
        <v>574</v>
      </c>
      <c r="GA6">
        <v>5</v>
      </c>
      <c r="GB6">
        <v>0</v>
      </c>
      <c r="GC6">
        <v>0</v>
      </c>
      <c r="GD6">
        <v>1</v>
      </c>
      <c r="GE6">
        <v>3810</v>
      </c>
      <c r="GF6">
        <v>3</v>
      </c>
      <c r="GG6">
        <v>40</v>
      </c>
      <c r="GH6">
        <v>1</v>
      </c>
      <c r="GI6">
        <v>450</v>
      </c>
      <c r="GJ6">
        <v>579</v>
      </c>
      <c r="GK6">
        <v>528</v>
      </c>
      <c r="GL6">
        <v>386</v>
      </c>
      <c r="GM6">
        <v>289</v>
      </c>
      <c r="GN6">
        <v>259</v>
      </c>
      <c r="GO6">
        <v>234</v>
      </c>
      <c r="GP6">
        <v>168</v>
      </c>
      <c r="GQ6">
        <v>153</v>
      </c>
      <c r="GR6">
        <v>87</v>
      </c>
      <c r="GS6">
        <v>77</v>
      </c>
      <c r="GT6">
        <v>67</v>
      </c>
      <c r="GU6">
        <v>65</v>
      </c>
      <c r="GV6">
        <v>37</v>
      </c>
      <c r="GW6">
        <v>20</v>
      </c>
      <c r="GX6">
        <v>10</v>
      </c>
      <c r="GY6">
        <v>10</v>
      </c>
      <c r="GZ6">
        <v>10</v>
      </c>
      <c r="HA6">
        <v>457</v>
      </c>
      <c r="HB6">
        <v>665</v>
      </c>
      <c r="HC6">
        <v>537</v>
      </c>
      <c r="HD6">
        <v>386</v>
      </c>
      <c r="HE6">
        <v>394</v>
      </c>
      <c r="HF6">
        <v>298</v>
      </c>
      <c r="HG6">
        <v>296</v>
      </c>
      <c r="HH6">
        <v>210</v>
      </c>
      <c r="HI6">
        <v>148</v>
      </c>
      <c r="HJ6">
        <v>108</v>
      </c>
      <c r="HK6">
        <v>85</v>
      </c>
      <c r="HL6">
        <v>84</v>
      </c>
      <c r="HM6">
        <v>71</v>
      </c>
      <c r="HN6">
        <v>53</v>
      </c>
      <c r="HO6">
        <v>26</v>
      </c>
      <c r="HP6">
        <v>18</v>
      </c>
      <c r="HQ6">
        <v>15</v>
      </c>
      <c r="HR6">
        <v>14</v>
      </c>
      <c r="HS6">
        <v>1638</v>
      </c>
      <c r="HT6">
        <v>0</v>
      </c>
      <c r="HU6">
        <v>0</v>
      </c>
      <c r="HV6">
        <v>0</v>
      </c>
      <c r="HW6">
        <v>2</v>
      </c>
      <c r="HX6">
        <v>0</v>
      </c>
      <c r="HY6">
        <v>0</v>
      </c>
      <c r="HZ6">
        <v>1</v>
      </c>
      <c r="IA6">
        <v>92</v>
      </c>
      <c r="IB6">
        <v>189</v>
      </c>
      <c r="IC6">
        <v>230</v>
      </c>
      <c r="ID6">
        <v>261</v>
      </c>
      <c r="IE6">
        <v>229</v>
      </c>
      <c r="IF6">
        <v>190</v>
      </c>
      <c r="IG6">
        <v>149</v>
      </c>
      <c r="IH6">
        <v>117</v>
      </c>
      <c r="II6">
        <v>194</v>
      </c>
      <c r="IJ6">
        <v>109</v>
      </c>
      <c r="IK6">
        <v>546</v>
      </c>
      <c r="IL6">
        <v>733</v>
      </c>
      <c r="IM6">
        <v>196</v>
      </c>
      <c r="IN6">
        <v>46</v>
      </c>
      <c r="IO6">
        <v>7</v>
      </c>
      <c r="IP6">
        <v>9</v>
      </c>
      <c r="IQ6">
        <v>1</v>
      </c>
      <c r="IR6">
        <v>4</v>
      </c>
      <c r="IS6">
        <v>616</v>
      </c>
      <c r="IT6">
        <v>902</v>
      </c>
      <c r="IU6">
        <v>96</v>
      </c>
      <c r="IV6">
        <v>26</v>
      </c>
      <c r="IW6">
        <v>11</v>
      </c>
      <c r="IX6">
        <v>68</v>
      </c>
      <c r="IY6">
        <v>723</v>
      </c>
      <c r="IZ6">
        <v>5</v>
      </c>
      <c r="JA6">
        <v>6</v>
      </c>
      <c r="JB6">
        <v>0</v>
      </c>
      <c r="JC6">
        <v>31</v>
      </c>
      <c r="JD6">
        <v>1482</v>
      </c>
      <c r="JE6">
        <v>169</v>
      </c>
      <c r="JF6">
        <v>0</v>
      </c>
      <c r="JH6" s="28">
        <v>756.18576274481291</v>
      </c>
      <c r="JI6" s="28">
        <v>95.565922533936785</v>
      </c>
      <c r="JJ6">
        <v>243</v>
      </c>
      <c r="JK6">
        <v>1397</v>
      </c>
      <c r="JL6">
        <v>11</v>
      </c>
      <c r="JM6">
        <v>0</v>
      </c>
      <c r="JN6">
        <v>81</v>
      </c>
      <c r="JO6">
        <v>17</v>
      </c>
      <c r="JP6">
        <v>86</v>
      </c>
      <c r="JQ6">
        <v>546</v>
      </c>
      <c r="JR6">
        <v>728</v>
      </c>
      <c r="JS6">
        <v>11</v>
      </c>
      <c r="JT6">
        <v>47</v>
      </c>
      <c r="JU6">
        <v>508</v>
      </c>
      <c r="JV6">
        <v>17</v>
      </c>
      <c r="JW6" s="28"/>
      <c r="JX6" s="28"/>
      <c r="JY6" s="28"/>
      <c r="JZ6" s="28"/>
      <c r="KA6" s="28">
        <v>1631.99999482</v>
      </c>
      <c r="KB6">
        <v>8427</v>
      </c>
      <c r="KC6">
        <v>0</v>
      </c>
      <c r="KD6">
        <v>0</v>
      </c>
      <c r="KE6">
        <v>0</v>
      </c>
      <c r="KF6">
        <v>10</v>
      </c>
      <c r="KG6">
        <v>0</v>
      </c>
      <c r="KH6">
        <v>0</v>
      </c>
      <c r="KI6">
        <v>4</v>
      </c>
      <c r="KJ6">
        <v>1220</v>
      </c>
      <c r="KK6">
        <v>7180</v>
      </c>
      <c r="KL6">
        <v>70</v>
      </c>
      <c r="KM6">
        <v>0</v>
      </c>
      <c r="KT6">
        <v>1392</v>
      </c>
      <c r="KU6">
        <v>1368</v>
      </c>
      <c r="KV6">
        <v>1245</v>
      </c>
      <c r="KW6">
        <v>76</v>
      </c>
      <c r="KX6">
        <v>7</v>
      </c>
      <c r="KZ6">
        <v>1273</v>
      </c>
      <c r="LA6">
        <v>33</v>
      </c>
      <c r="LB6">
        <v>1</v>
      </c>
      <c r="LD6">
        <v>753</v>
      </c>
      <c r="LE6">
        <v>790</v>
      </c>
      <c r="LF6">
        <v>328</v>
      </c>
      <c r="LG6">
        <v>673</v>
      </c>
      <c r="LH6">
        <v>4722</v>
      </c>
      <c r="LI6">
        <v>1</v>
      </c>
      <c r="LJ6">
        <v>837</v>
      </c>
      <c r="LK6">
        <v>91</v>
      </c>
      <c r="LL6">
        <v>470</v>
      </c>
      <c r="LM6">
        <v>0</v>
      </c>
      <c r="LN6">
        <v>197</v>
      </c>
      <c r="LO6">
        <v>2</v>
      </c>
      <c r="LP6">
        <v>5</v>
      </c>
      <c r="LQ6">
        <v>972</v>
      </c>
      <c r="LR6">
        <v>81</v>
      </c>
      <c r="LS6">
        <v>460</v>
      </c>
      <c r="LT6">
        <v>0</v>
      </c>
      <c r="LU6">
        <v>74</v>
      </c>
      <c r="LV6">
        <v>2</v>
      </c>
      <c r="LW6" s="44"/>
      <c r="LX6" s="44"/>
      <c r="LY6" s="44"/>
      <c r="LZ6">
        <v>1651</v>
      </c>
      <c r="MA6">
        <v>8470</v>
      </c>
      <c r="MB6">
        <v>6712</v>
      </c>
      <c r="MC6">
        <v>6032</v>
      </c>
      <c r="MD6" s="26">
        <v>21.198644999999999</v>
      </c>
      <c r="ME6" s="26">
        <v>13.269731</v>
      </c>
      <c r="MF6" s="26">
        <v>71.833968999999996</v>
      </c>
      <c r="MG6" s="26">
        <v>13.915094</v>
      </c>
      <c r="MH6" s="26">
        <v>14.718352999999999</v>
      </c>
      <c r="MI6" s="26">
        <v>1.574803</v>
      </c>
      <c r="MJ6" s="26">
        <v>6.723198</v>
      </c>
      <c r="MK6" s="26">
        <v>10.236219999999999</v>
      </c>
      <c r="ML6" s="26">
        <v>1.1508179999999999</v>
      </c>
      <c r="MM6" s="26">
        <v>98.970320999999998</v>
      </c>
      <c r="MN6" s="26">
        <v>95.093881999999994</v>
      </c>
      <c r="MO6" s="26">
        <v>1.6865949999999998</v>
      </c>
      <c r="MP6" t="s">
        <v>1028</v>
      </c>
      <c r="MQ6">
        <v>176</v>
      </c>
      <c r="MR6">
        <v>19</v>
      </c>
    </row>
    <row r="7" spans="1:356">
      <c r="A7" t="s">
        <v>45</v>
      </c>
      <c r="B7" t="s">
        <v>46</v>
      </c>
      <c r="C7">
        <v>21948</v>
      </c>
      <c r="D7">
        <v>29865</v>
      </c>
      <c r="E7">
        <v>36160</v>
      </c>
      <c r="F7">
        <f t="shared" si="0"/>
        <v>6295</v>
      </c>
      <c r="G7" s="26">
        <f t="shared" si="1"/>
        <v>21.078185166582955</v>
      </c>
      <c r="H7">
        <v>18032</v>
      </c>
      <c r="I7">
        <v>18128</v>
      </c>
      <c r="J7">
        <v>10618</v>
      </c>
      <c r="K7">
        <v>25542</v>
      </c>
      <c r="L7">
        <v>2019</v>
      </c>
      <c r="M7">
        <v>2308</v>
      </c>
      <c r="N7">
        <v>2177</v>
      </c>
      <c r="O7">
        <v>1928</v>
      </c>
      <c r="P7">
        <v>1601</v>
      </c>
      <c r="Q7">
        <v>1325</v>
      </c>
      <c r="R7">
        <v>1224</v>
      </c>
      <c r="S7">
        <v>1090</v>
      </c>
      <c r="T7">
        <v>941</v>
      </c>
      <c r="U7">
        <v>780</v>
      </c>
      <c r="V7">
        <v>574</v>
      </c>
      <c r="W7">
        <v>502</v>
      </c>
      <c r="X7">
        <v>323</v>
      </c>
      <c r="Y7">
        <v>789</v>
      </c>
      <c r="Z7">
        <v>451</v>
      </c>
      <c r="AA7">
        <v>1965</v>
      </c>
      <c r="AB7">
        <v>2047</v>
      </c>
      <c r="AC7">
        <v>2092</v>
      </c>
      <c r="AD7">
        <v>1902</v>
      </c>
      <c r="AE7">
        <v>1781</v>
      </c>
      <c r="AF7">
        <v>1517</v>
      </c>
      <c r="AG7">
        <v>1378</v>
      </c>
      <c r="AH7">
        <v>1190</v>
      </c>
      <c r="AI7">
        <v>901</v>
      </c>
      <c r="AJ7">
        <v>757</v>
      </c>
      <c r="AK7">
        <v>602</v>
      </c>
      <c r="AL7">
        <v>433</v>
      </c>
      <c r="AM7">
        <v>337</v>
      </c>
      <c r="AN7">
        <v>774</v>
      </c>
      <c r="AO7">
        <v>452</v>
      </c>
      <c r="AP7">
        <v>34958</v>
      </c>
      <c r="AQ7">
        <v>281</v>
      </c>
      <c r="AR7">
        <v>2</v>
      </c>
      <c r="AS7">
        <v>4</v>
      </c>
      <c r="AT7">
        <v>915</v>
      </c>
      <c r="AU7">
        <v>20677</v>
      </c>
      <c r="AV7">
        <v>10359</v>
      </c>
      <c r="AW7">
        <v>10318</v>
      </c>
      <c r="AX7">
        <v>8943</v>
      </c>
      <c r="AY7">
        <v>16244</v>
      </c>
      <c r="AZ7">
        <v>13318</v>
      </c>
      <c r="BA7">
        <v>2926</v>
      </c>
      <c r="BB7">
        <v>411</v>
      </c>
      <c r="BC7">
        <v>412</v>
      </c>
      <c r="BD7">
        <v>1245</v>
      </c>
      <c r="BE7">
        <v>1115</v>
      </c>
      <c r="BF7">
        <v>1216</v>
      </c>
      <c r="BG7">
        <v>1156</v>
      </c>
      <c r="BH7">
        <v>1158</v>
      </c>
      <c r="BI7">
        <v>1121</v>
      </c>
      <c r="BJ7">
        <v>1036</v>
      </c>
      <c r="BK7">
        <v>1118</v>
      </c>
      <c r="BL7">
        <v>870</v>
      </c>
      <c r="BM7">
        <v>935</v>
      </c>
      <c r="BN7">
        <v>826</v>
      </c>
      <c r="BO7">
        <v>879</v>
      </c>
      <c r="BP7">
        <v>714</v>
      </c>
      <c r="BQ7">
        <v>796</v>
      </c>
      <c r="BR7">
        <v>665</v>
      </c>
      <c r="BS7">
        <v>615</v>
      </c>
      <c r="BT7">
        <v>537</v>
      </c>
      <c r="BU7">
        <v>553</v>
      </c>
      <c r="BV7">
        <v>428</v>
      </c>
      <c r="BW7">
        <v>427</v>
      </c>
      <c r="BX7">
        <v>375</v>
      </c>
      <c r="BY7">
        <v>333</v>
      </c>
      <c r="BZ7">
        <v>254</v>
      </c>
      <c r="CA7">
        <v>260</v>
      </c>
      <c r="CB7">
        <v>624</v>
      </c>
      <c r="CC7">
        <v>598</v>
      </c>
      <c r="CD7">
        <v>9187</v>
      </c>
      <c r="CE7">
        <v>8265</v>
      </c>
      <c r="CF7">
        <v>1100</v>
      </c>
      <c r="CG7">
        <v>1972</v>
      </c>
      <c r="CH7">
        <v>6652</v>
      </c>
      <c r="CI7">
        <v>1317</v>
      </c>
      <c r="CJ7">
        <v>31442</v>
      </c>
      <c r="CK7">
        <v>4668</v>
      </c>
      <c r="CL7">
        <v>406</v>
      </c>
      <c r="CM7">
        <v>998</v>
      </c>
      <c r="CN7">
        <v>1348</v>
      </c>
      <c r="CO7">
        <v>1644</v>
      </c>
      <c r="CP7">
        <v>1386</v>
      </c>
      <c r="CQ7">
        <v>2187</v>
      </c>
      <c r="CR7">
        <v>6366</v>
      </c>
      <c r="CS7">
        <v>16984</v>
      </c>
      <c r="CT7">
        <v>2148</v>
      </c>
      <c r="CU7">
        <v>1011</v>
      </c>
      <c r="CV7">
        <v>333</v>
      </c>
      <c r="CW7">
        <v>562</v>
      </c>
      <c r="CX7">
        <v>45</v>
      </c>
      <c r="CY7">
        <v>5554</v>
      </c>
      <c r="CZ7">
        <v>1785</v>
      </c>
      <c r="DA7">
        <v>13</v>
      </c>
      <c r="DB7">
        <v>406</v>
      </c>
      <c r="DC7">
        <v>13</v>
      </c>
      <c r="DD7">
        <v>3821</v>
      </c>
      <c r="DE7">
        <v>6196</v>
      </c>
      <c r="DF7">
        <v>3190</v>
      </c>
      <c r="DG7">
        <v>12335</v>
      </c>
      <c r="DH7">
        <v>0</v>
      </c>
      <c r="DI7">
        <v>0</v>
      </c>
      <c r="DJ7">
        <v>10618</v>
      </c>
      <c r="DK7">
        <v>0</v>
      </c>
      <c r="DL7">
        <v>0</v>
      </c>
      <c r="DM7">
        <v>109</v>
      </c>
      <c r="DN7">
        <v>40</v>
      </c>
      <c r="DO7">
        <v>9</v>
      </c>
      <c r="DP7">
        <v>16</v>
      </c>
      <c r="DQ7">
        <v>0</v>
      </c>
      <c r="DR7">
        <v>0</v>
      </c>
      <c r="DS7">
        <v>1</v>
      </c>
      <c r="DT7">
        <v>0</v>
      </c>
      <c r="DU7">
        <v>0</v>
      </c>
      <c r="DV7">
        <v>459</v>
      </c>
      <c r="DW7">
        <v>482</v>
      </c>
      <c r="DX7">
        <v>606</v>
      </c>
      <c r="DY7">
        <v>683</v>
      </c>
      <c r="DZ7">
        <v>367</v>
      </c>
      <c r="EA7">
        <v>366</v>
      </c>
      <c r="EB7">
        <v>248</v>
      </c>
      <c r="EC7">
        <v>252</v>
      </c>
      <c r="ED7">
        <v>231</v>
      </c>
      <c r="EE7">
        <v>235</v>
      </c>
      <c r="EF7">
        <v>237</v>
      </c>
      <c r="EG7">
        <v>269</v>
      </c>
      <c r="EH7">
        <v>143</v>
      </c>
      <c r="EI7">
        <v>139</v>
      </c>
      <c r="EJ7">
        <v>718</v>
      </c>
      <c r="EK7">
        <v>968</v>
      </c>
      <c r="EL7">
        <v>568</v>
      </c>
      <c r="EM7">
        <v>356</v>
      </c>
      <c r="EN7">
        <v>363</v>
      </c>
      <c r="EO7">
        <v>383</v>
      </c>
      <c r="EP7">
        <v>213</v>
      </c>
      <c r="EQ7">
        <v>9856</v>
      </c>
      <c r="ER7">
        <v>9463</v>
      </c>
      <c r="ES7">
        <v>393</v>
      </c>
      <c r="ET7">
        <v>2411</v>
      </c>
      <c r="EU7">
        <v>5162</v>
      </c>
      <c r="EV7">
        <v>5092</v>
      </c>
      <c r="EW7">
        <v>70</v>
      </c>
      <c r="EX7">
        <v>7659</v>
      </c>
      <c r="EY7" s="26">
        <v>53.738210000000002</v>
      </c>
      <c r="EZ7" s="26">
        <v>12.939958000000001</v>
      </c>
      <c r="FA7" s="26">
        <v>11.559696000000001</v>
      </c>
      <c r="FB7" s="26">
        <v>21.566597999999999</v>
      </c>
      <c r="FC7" s="26">
        <v>0.19553699999999999</v>
      </c>
      <c r="FD7">
        <v>2335</v>
      </c>
      <c r="FE7">
        <v>6235</v>
      </c>
      <c r="FF7">
        <v>672</v>
      </c>
      <c r="FG7">
        <v>2958</v>
      </c>
      <c r="FH7">
        <v>7</v>
      </c>
      <c r="FI7">
        <v>2120</v>
      </c>
      <c r="FJ7">
        <v>686</v>
      </c>
      <c r="FK7" s="26" t="s">
        <v>359</v>
      </c>
      <c r="FL7" s="26" t="s">
        <v>359</v>
      </c>
      <c r="FM7" s="26" t="s">
        <v>359</v>
      </c>
      <c r="FN7" s="26" t="s">
        <v>359</v>
      </c>
      <c r="FO7" s="28">
        <v>13096</v>
      </c>
      <c r="FP7" s="28">
        <v>4484</v>
      </c>
      <c r="FQ7">
        <v>2052</v>
      </c>
      <c r="FR7">
        <v>248</v>
      </c>
      <c r="FS7">
        <v>10</v>
      </c>
      <c r="FT7">
        <v>119</v>
      </c>
      <c r="FU7">
        <v>9848</v>
      </c>
      <c r="FV7">
        <v>19</v>
      </c>
      <c r="FW7">
        <v>80</v>
      </c>
      <c r="FX7">
        <v>452</v>
      </c>
      <c r="FY7">
        <v>13587</v>
      </c>
      <c r="FZ7">
        <v>4085</v>
      </c>
      <c r="GA7">
        <v>1964</v>
      </c>
      <c r="GB7">
        <v>245</v>
      </c>
      <c r="GC7">
        <v>12</v>
      </c>
      <c r="GD7">
        <v>94</v>
      </c>
      <c r="GE7">
        <v>10365</v>
      </c>
      <c r="GF7">
        <v>19</v>
      </c>
      <c r="GG7">
        <v>64</v>
      </c>
      <c r="GH7">
        <v>456</v>
      </c>
      <c r="GI7">
        <v>1160</v>
      </c>
      <c r="GJ7">
        <v>1756</v>
      </c>
      <c r="GK7">
        <v>1715</v>
      </c>
      <c r="GL7">
        <v>1441</v>
      </c>
      <c r="GM7">
        <v>1168</v>
      </c>
      <c r="GN7">
        <v>976</v>
      </c>
      <c r="GO7">
        <v>945</v>
      </c>
      <c r="GP7">
        <v>882</v>
      </c>
      <c r="GQ7">
        <v>753</v>
      </c>
      <c r="GR7">
        <v>601</v>
      </c>
      <c r="GS7">
        <v>448</v>
      </c>
      <c r="GT7">
        <v>383</v>
      </c>
      <c r="GU7">
        <v>243</v>
      </c>
      <c r="GV7">
        <v>244</v>
      </c>
      <c r="GW7">
        <v>151</v>
      </c>
      <c r="GX7">
        <v>94</v>
      </c>
      <c r="GY7">
        <v>72</v>
      </c>
      <c r="GZ7">
        <v>64</v>
      </c>
      <c r="HA7">
        <v>1191</v>
      </c>
      <c r="HB7">
        <v>1542</v>
      </c>
      <c r="HC7">
        <v>1646</v>
      </c>
      <c r="HD7">
        <v>1388</v>
      </c>
      <c r="HE7">
        <v>1324</v>
      </c>
      <c r="HF7">
        <v>1217</v>
      </c>
      <c r="HG7">
        <v>1141</v>
      </c>
      <c r="HH7">
        <v>991</v>
      </c>
      <c r="HI7">
        <v>765</v>
      </c>
      <c r="HJ7">
        <v>631</v>
      </c>
      <c r="HK7">
        <v>496</v>
      </c>
      <c r="HL7">
        <v>341</v>
      </c>
      <c r="HM7">
        <v>278</v>
      </c>
      <c r="HN7">
        <v>259</v>
      </c>
      <c r="HO7">
        <v>156</v>
      </c>
      <c r="HP7">
        <v>100</v>
      </c>
      <c r="HQ7">
        <v>55</v>
      </c>
      <c r="HR7">
        <v>66</v>
      </c>
      <c r="HS7">
        <v>6705</v>
      </c>
      <c r="HT7">
        <v>5</v>
      </c>
      <c r="HU7">
        <v>16</v>
      </c>
      <c r="HV7">
        <v>0</v>
      </c>
      <c r="HW7">
        <v>6</v>
      </c>
      <c r="HX7">
        <v>0</v>
      </c>
      <c r="HY7">
        <v>0</v>
      </c>
      <c r="HZ7">
        <v>210</v>
      </c>
      <c r="IA7">
        <v>405</v>
      </c>
      <c r="IB7">
        <v>998</v>
      </c>
      <c r="IC7">
        <v>1348</v>
      </c>
      <c r="ID7">
        <v>1642</v>
      </c>
      <c r="IE7">
        <v>1384</v>
      </c>
      <c r="IF7">
        <v>921</v>
      </c>
      <c r="IG7">
        <v>515</v>
      </c>
      <c r="IH7">
        <v>313</v>
      </c>
      <c r="II7">
        <v>437</v>
      </c>
      <c r="IJ7">
        <v>272</v>
      </c>
      <c r="IK7">
        <v>1581</v>
      </c>
      <c r="IL7">
        <v>2750</v>
      </c>
      <c r="IM7">
        <v>1757</v>
      </c>
      <c r="IN7">
        <v>883</v>
      </c>
      <c r="IO7">
        <v>337</v>
      </c>
      <c r="IP7">
        <v>94</v>
      </c>
      <c r="IQ7">
        <v>50</v>
      </c>
      <c r="IR7">
        <v>28</v>
      </c>
      <c r="IS7">
        <v>2317</v>
      </c>
      <c r="IT7">
        <v>3399</v>
      </c>
      <c r="IU7">
        <v>1300</v>
      </c>
      <c r="IV7">
        <v>591</v>
      </c>
      <c r="IW7">
        <v>145</v>
      </c>
      <c r="IX7">
        <v>1553</v>
      </c>
      <c r="IY7">
        <v>3714</v>
      </c>
      <c r="IZ7">
        <v>376</v>
      </c>
      <c r="JA7">
        <v>58</v>
      </c>
      <c r="JB7">
        <v>2</v>
      </c>
      <c r="JC7">
        <v>455</v>
      </c>
      <c r="JD7">
        <v>5925</v>
      </c>
      <c r="JE7">
        <v>1827</v>
      </c>
      <c r="JF7">
        <v>211</v>
      </c>
      <c r="JH7" s="28">
        <v>4981.8678726977969</v>
      </c>
      <c r="JI7" s="28">
        <v>274.64244653307844</v>
      </c>
      <c r="JJ7">
        <v>532</v>
      </c>
      <c r="JK7">
        <v>6950</v>
      </c>
      <c r="JL7">
        <v>270</v>
      </c>
      <c r="JM7">
        <v>211</v>
      </c>
      <c r="JN7">
        <v>2794</v>
      </c>
      <c r="JO7">
        <v>1254</v>
      </c>
      <c r="JP7">
        <v>854</v>
      </c>
      <c r="JQ7">
        <v>2411</v>
      </c>
      <c r="JR7">
        <v>4609</v>
      </c>
      <c r="JS7">
        <v>404</v>
      </c>
      <c r="JT7">
        <v>155</v>
      </c>
      <c r="JU7">
        <v>3461</v>
      </c>
      <c r="JV7">
        <v>347</v>
      </c>
      <c r="JW7" s="28"/>
      <c r="JX7" s="28"/>
      <c r="JY7" s="28"/>
      <c r="JZ7" s="28"/>
      <c r="KA7" s="28">
        <v>7708.99996861</v>
      </c>
      <c r="KB7">
        <v>31087</v>
      </c>
      <c r="KC7">
        <v>13</v>
      </c>
      <c r="KD7">
        <v>56</v>
      </c>
      <c r="KE7">
        <v>0</v>
      </c>
      <c r="KF7">
        <v>28</v>
      </c>
      <c r="KG7">
        <v>0</v>
      </c>
      <c r="KH7">
        <v>0</v>
      </c>
      <c r="KI7">
        <v>899</v>
      </c>
      <c r="KJ7">
        <v>2668</v>
      </c>
      <c r="KK7">
        <v>31409</v>
      </c>
      <c r="KL7">
        <v>1102</v>
      </c>
      <c r="KM7">
        <v>903</v>
      </c>
      <c r="KT7">
        <v>5073</v>
      </c>
      <c r="KU7">
        <v>4691</v>
      </c>
      <c r="KV7">
        <v>4392</v>
      </c>
      <c r="KW7">
        <v>479</v>
      </c>
      <c r="KX7">
        <v>57</v>
      </c>
      <c r="KZ7">
        <v>4079</v>
      </c>
      <c r="LA7">
        <v>408</v>
      </c>
      <c r="LB7">
        <v>59</v>
      </c>
      <c r="LD7">
        <v>2773</v>
      </c>
      <c r="LE7">
        <v>2705</v>
      </c>
      <c r="LF7">
        <v>1803</v>
      </c>
      <c r="LG7">
        <v>3403</v>
      </c>
      <c r="LH7">
        <v>22649</v>
      </c>
      <c r="LI7">
        <v>23</v>
      </c>
      <c r="LJ7">
        <v>2280</v>
      </c>
      <c r="LK7">
        <v>436</v>
      </c>
      <c r="LL7">
        <v>2290</v>
      </c>
      <c r="LM7">
        <v>4</v>
      </c>
      <c r="LN7">
        <v>1341</v>
      </c>
      <c r="LO7">
        <v>229</v>
      </c>
      <c r="LP7">
        <v>24</v>
      </c>
      <c r="LQ7">
        <v>2357</v>
      </c>
      <c r="LR7">
        <v>417</v>
      </c>
      <c r="LS7">
        <v>1966</v>
      </c>
      <c r="LT7">
        <v>3</v>
      </c>
      <c r="LU7">
        <v>979</v>
      </c>
      <c r="LV7">
        <v>191</v>
      </c>
      <c r="LW7" s="44"/>
      <c r="LX7" s="44"/>
      <c r="LY7" s="44"/>
      <c r="LZ7">
        <v>7963</v>
      </c>
      <c r="MA7">
        <v>36082</v>
      </c>
      <c r="MB7">
        <v>32872</v>
      </c>
      <c r="MC7">
        <v>20526</v>
      </c>
      <c r="MD7" s="26">
        <v>22.985561999999998</v>
      </c>
      <c r="ME7" s="26">
        <v>14.222797999999999</v>
      </c>
      <c r="MF7" s="26">
        <v>62.925514999999997</v>
      </c>
      <c r="MG7" s="26">
        <v>23.697455999999999</v>
      </c>
      <c r="MH7" s="26">
        <v>6.6808989999999993</v>
      </c>
      <c r="MI7" s="26">
        <v>4.9981159999999996</v>
      </c>
      <c r="MJ7" s="26">
        <v>13.562728</v>
      </c>
      <c r="MK7" s="26">
        <v>22.943614</v>
      </c>
      <c r="ML7" s="26">
        <v>3.1897530000000001</v>
      </c>
      <c r="MM7" s="26">
        <v>84.252166000000003</v>
      </c>
      <c r="MN7" s="26">
        <v>64.912720999999991</v>
      </c>
      <c r="MO7" s="26">
        <v>1.4208499999999999</v>
      </c>
      <c r="MP7" t="s">
        <v>1028</v>
      </c>
      <c r="MQ7">
        <v>239</v>
      </c>
      <c r="MR7">
        <v>26</v>
      </c>
    </row>
    <row r="8" spans="1:356">
      <c r="A8" t="s">
        <v>47</v>
      </c>
      <c r="B8" t="s">
        <v>48</v>
      </c>
      <c r="C8">
        <v>18778</v>
      </c>
      <c r="D8">
        <v>21275</v>
      </c>
      <c r="E8">
        <v>24512</v>
      </c>
      <c r="F8">
        <f t="shared" si="0"/>
        <v>3237</v>
      </c>
      <c r="G8" s="26">
        <f t="shared" si="1"/>
        <v>15.215041128084607</v>
      </c>
      <c r="H8">
        <v>12328</v>
      </c>
      <c r="I8">
        <v>12184</v>
      </c>
      <c r="J8">
        <v>4327</v>
      </c>
      <c r="K8">
        <v>20185</v>
      </c>
      <c r="L8">
        <v>1481</v>
      </c>
      <c r="M8">
        <v>1563</v>
      </c>
      <c r="N8">
        <v>1406</v>
      </c>
      <c r="O8">
        <v>1212</v>
      </c>
      <c r="P8">
        <v>1134</v>
      </c>
      <c r="Q8">
        <v>948</v>
      </c>
      <c r="R8">
        <v>881</v>
      </c>
      <c r="S8">
        <v>751</v>
      </c>
      <c r="T8">
        <v>658</v>
      </c>
      <c r="U8">
        <v>559</v>
      </c>
      <c r="V8">
        <v>445</v>
      </c>
      <c r="W8">
        <v>336</v>
      </c>
      <c r="X8">
        <v>281</v>
      </c>
      <c r="Y8">
        <v>673</v>
      </c>
      <c r="Z8">
        <v>0</v>
      </c>
      <c r="AA8">
        <v>1406</v>
      </c>
      <c r="AB8">
        <v>1562</v>
      </c>
      <c r="AC8">
        <v>1410</v>
      </c>
      <c r="AD8">
        <v>1255</v>
      </c>
      <c r="AE8">
        <v>1179</v>
      </c>
      <c r="AF8">
        <v>973</v>
      </c>
      <c r="AG8">
        <v>854</v>
      </c>
      <c r="AH8">
        <v>804</v>
      </c>
      <c r="AI8">
        <v>629</v>
      </c>
      <c r="AJ8">
        <v>487</v>
      </c>
      <c r="AK8">
        <v>422</v>
      </c>
      <c r="AL8">
        <v>339</v>
      </c>
      <c r="AM8">
        <v>268</v>
      </c>
      <c r="AN8">
        <v>596</v>
      </c>
      <c r="AO8">
        <v>0</v>
      </c>
      <c r="AP8">
        <v>23267</v>
      </c>
      <c r="AQ8">
        <v>1237</v>
      </c>
      <c r="AR8">
        <v>2</v>
      </c>
      <c r="AS8">
        <v>4</v>
      </c>
      <c r="AT8">
        <v>2</v>
      </c>
      <c r="AU8">
        <v>6031</v>
      </c>
      <c r="AV8">
        <v>3060</v>
      </c>
      <c r="AW8">
        <v>2971</v>
      </c>
      <c r="AX8">
        <v>2772</v>
      </c>
      <c r="AY8">
        <v>6976</v>
      </c>
      <c r="AZ8">
        <v>6834</v>
      </c>
      <c r="BA8">
        <v>142</v>
      </c>
      <c r="BB8">
        <v>60</v>
      </c>
      <c r="BC8">
        <v>84</v>
      </c>
      <c r="BD8">
        <v>295</v>
      </c>
      <c r="BE8">
        <v>300</v>
      </c>
      <c r="BF8">
        <v>316</v>
      </c>
      <c r="BG8">
        <v>350</v>
      </c>
      <c r="BH8">
        <v>304</v>
      </c>
      <c r="BI8">
        <v>299</v>
      </c>
      <c r="BJ8">
        <v>294</v>
      </c>
      <c r="BK8">
        <v>307</v>
      </c>
      <c r="BL8">
        <v>247</v>
      </c>
      <c r="BM8">
        <v>267</v>
      </c>
      <c r="BN8">
        <v>268</v>
      </c>
      <c r="BO8">
        <v>235</v>
      </c>
      <c r="BP8">
        <v>240</v>
      </c>
      <c r="BQ8">
        <v>226</v>
      </c>
      <c r="BR8">
        <v>199</v>
      </c>
      <c r="BS8">
        <v>191</v>
      </c>
      <c r="BT8">
        <v>207</v>
      </c>
      <c r="BU8">
        <v>158</v>
      </c>
      <c r="BV8">
        <v>159</v>
      </c>
      <c r="BW8">
        <v>121</v>
      </c>
      <c r="BX8">
        <v>115</v>
      </c>
      <c r="BY8">
        <v>117</v>
      </c>
      <c r="BZ8">
        <v>102</v>
      </c>
      <c r="CA8">
        <v>101</v>
      </c>
      <c r="CB8">
        <v>254</v>
      </c>
      <c r="CC8">
        <v>215</v>
      </c>
      <c r="CD8">
        <v>2862</v>
      </c>
      <c r="CE8">
        <v>2686</v>
      </c>
      <c r="CF8">
        <v>182</v>
      </c>
      <c r="CG8">
        <v>257</v>
      </c>
      <c r="CH8">
        <v>4781</v>
      </c>
      <c r="CI8">
        <v>882</v>
      </c>
      <c r="CJ8">
        <v>21348</v>
      </c>
      <c r="CK8">
        <v>3093</v>
      </c>
      <c r="CL8">
        <v>310</v>
      </c>
      <c r="CM8">
        <v>800</v>
      </c>
      <c r="CN8">
        <v>1022</v>
      </c>
      <c r="CO8">
        <v>1205</v>
      </c>
      <c r="CP8">
        <v>930</v>
      </c>
      <c r="CQ8">
        <v>1396</v>
      </c>
      <c r="CR8">
        <v>4684</v>
      </c>
      <c r="CS8">
        <v>11617</v>
      </c>
      <c r="CT8">
        <v>1305</v>
      </c>
      <c r="CU8">
        <v>600</v>
      </c>
      <c r="CV8">
        <v>215</v>
      </c>
      <c r="CW8">
        <v>344</v>
      </c>
      <c r="CX8">
        <v>13</v>
      </c>
      <c r="CY8">
        <v>4138</v>
      </c>
      <c r="CZ8">
        <v>1206</v>
      </c>
      <c r="DA8">
        <v>7</v>
      </c>
      <c r="DB8">
        <v>310</v>
      </c>
      <c r="DC8">
        <v>2</v>
      </c>
      <c r="DD8">
        <v>2540</v>
      </c>
      <c r="DE8">
        <v>5159</v>
      </c>
      <c r="DF8">
        <v>5993</v>
      </c>
      <c r="DG8">
        <v>6493</v>
      </c>
      <c r="DH8">
        <v>4327</v>
      </c>
      <c r="DI8">
        <v>0</v>
      </c>
      <c r="DJ8">
        <v>0</v>
      </c>
      <c r="DK8">
        <v>0</v>
      </c>
      <c r="DL8">
        <v>0</v>
      </c>
      <c r="DM8">
        <v>72</v>
      </c>
      <c r="DN8">
        <v>34</v>
      </c>
      <c r="DO8">
        <v>19</v>
      </c>
      <c r="DP8">
        <v>8</v>
      </c>
      <c r="DQ8">
        <v>1</v>
      </c>
      <c r="DR8">
        <v>0</v>
      </c>
      <c r="DS8">
        <v>0</v>
      </c>
      <c r="DT8">
        <v>0</v>
      </c>
      <c r="DU8">
        <v>0</v>
      </c>
      <c r="DV8">
        <v>586</v>
      </c>
      <c r="DW8">
        <v>620</v>
      </c>
      <c r="DX8">
        <v>794</v>
      </c>
      <c r="DY8">
        <v>773</v>
      </c>
      <c r="DZ8">
        <v>429</v>
      </c>
      <c r="EA8">
        <v>378</v>
      </c>
      <c r="EB8">
        <v>224</v>
      </c>
      <c r="EC8">
        <v>176</v>
      </c>
      <c r="ED8">
        <v>208</v>
      </c>
      <c r="EE8">
        <v>191</v>
      </c>
      <c r="EF8">
        <v>319</v>
      </c>
      <c r="EG8">
        <v>285</v>
      </c>
      <c r="EH8">
        <v>150</v>
      </c>
      <c r="EI8">
        <v>129</v>
      </c>
      <c r="EJ8">
        <v>841</v>
      </c>
      <c r="EK8">
        <v>1065</v>
      </c>
      <c r="EL8">
        <v>598</v>
      </c>
      <c r="EM8">
        <v>281</v>
      </c>
      <c r="EN8">
        <v>284</v>
      </c>
      <c r="EO8">
        <v>450</v>
      </c>
      <c r="EP8">
        <v>220</v>
      </c>
      <c r="EQ8">
        <v>7282</v>
      </c>
      <c r="ER8">
        <v>6932</v>
      </c>
      <c r="ES8">
        <v>350</v>
      </c>
      <c r="ET8">
        <v>1373</v>
      </c>
      <c r="EU8">
        <v>3328</v>
      </c>
      <c r="EV8">
        <v>3313</v>
      </c>
      <c r="EW8">
        <v>15</v>
      </c>
      <c r="EX8">
        <v>5287</v>
      </c>
      <c r="EY8" s="26">
        <v>78.013817000000003</v>
      </c>
      <c r="EZ8" s="26">
        <v>6.2694299999999998</v>
      </c>
      <c r="FA8" s="26">
        <v>5.3713300000000004</v>
      </c>
      <c r="FB8" s="26">
        <v>10.172712000000001</v>
      </c>
      <c r="FC8" s="26">
        <v>0.172712</v>
      </c>
      <c r="FD8">
        <v>1509</v>
      </c>
      <c r="FE8">
        <v>3717</v>
      </c>
      <c r="FF8">
        <v>447</v>
      </c>
      <c r="FG8">
        <v>2995</v>
      </c>
      <c r="FH8">
        <v>1</v>
      </c>
      <c r="FI8">
        <v>1660</v>
      </c>
      <c r="FJ8">
        <v>278</v>
      </c>
      <c r="FK8" s="26" t="s">
        <v>359</v>
      </c>
      <c r="FL8" s="26" t="s">
        <v>359</v>
      </c>
      <c r="FM8" s="26" t="s">
        <v>359</v>
      </c>
      <c r="FN8" s="26" t="s">
        <v>359</v>
      </c>
      <c r="FO8" s="28">
        <v>8539</v>
      </c>
      <c r="FP8" s="28">
        <v>3788</v>
      </c>
      <c r="FQ8">
        <v>238</v>
      </c>
      <c r="FR8">
        <v>58</v>
      </c>
      <c r="FS8">
        <v>2</v>
      </c>
      <c r="FT8">
        <v>10</v>
      </c>
      <c r="FU8">
        <v>7734</v>
      </c>
      <c r="FV8">
        <v>16</v>
      </c>
      <c r="FW8">
        <v>31</v>
      </c>
      <c r="FX8">
        <v>1</v>
      </c>
      <c r="FY8">
        <v>8715</v>
      </c>
      <c r="FZ8">
        <v>3469</v>
      </c>
      <c r="GA8">
        <v>186</v>
      </c>
      <c r="GB8">
        <v>60</v>
      </c>
      <c r="GC8">
        <v>4</v>
      </c>
      <c r="GD8">
        <v>6</v>
      </c>
      <c r="GE8">
        <v>7945</v>
      </c>
      <c r="GF8">
        <v>25</v>
      </c>
      <c r="GG8">
        <v>39</v>
      </c>
      <c r="GH8">
        <v>0</v>
      </c>
      <c r="GI8">
        <v>870</v>
      </c>
      <c r="GJ8">
        <v>1169</v>
      </c>
      <c r="GK8">
        <v>1075</v>
      </c>
      <c r="GL8">
        <v>855</v>
      </c>
      <c r="GM8">
        <v>729</v>
      </c>
      <c r="GN8">
        <v>641</v>
      </c>
      <c r="GO8">
        <v>630</v>
      </c>
      <c r="GP8">
        <v>538</v>
      </c>
      <c r="GQ8">
        <v>468</v>
      </c>
      <c r="GR8">
        <v>403</v>
      </c>
      <c r="GS8">
        <v>306</v>
      </c>
      <c r="GT8">
        <v>234</v>
      </c>
      <c r="GU8">
        <v>175</v>
      </c>
      <c r="GV8">
        <v>168</v>
      </c>
      <c r="GW8">
        <v>102</v>
      </c>
      <c r="GX8">
        <v>80</v>
      </c>
      <c r="GY8">
        <v>51</v>
      </c>
      <c r="GZ8">
        <v>45</v>
      </c>
      <c r="HA8">
        <v>792</v>
      </c>
      <c r="HB8">
        <v>1180</v>
      </c>
      <c r="HC8">
        <v>1062</v>
      </c>
      <c r="HD8">
        <v>849</v>
      </c>
      <c r="HE8">
        <v>856</v>
      </c>
      <c r="HF8">
        <v>730</v>
      </c>
      <c r="HG8">
        <v>630</v>
      </c>
      <c r="HH8">
        <v>615</v>
      </c>
      <c r="HI8">
        <v>471</v>
      </c>
      <c r="HJ8">
        <v>370</v>
      </c>
      <c r="HK8">
        <v>319</v>
      </c>
      <c r="HL8">
        <v>248</v>
      </c>
      <c r="HM8">
        <v>172</v>
      </c>
      <c r="HN8">
        <v>173</v>
      </c>
      <c r="HO8">
        <v>98</v>
      </c>
      <c r="HP8">
        <v>69</v>
      </c>
      <c r="HQ8">
        <v>40</v>
      </c>
      <c r="HR8">
        <v>41</v>
      </c>
      <c r="HS8">
        <v>5000</v>
      </c>
      <c r="HT8">
        <v>0</v>
      </c>
      <c r="HU8">
        <v>1</v>
      </c>
      <c r="HV8">
        <v>0</v>
      </c>
      <c r="HW8">
        <v>7</v>
      </c>
      <c r="HX8">
        <v>0</v>
      </c>
      <c r="HY8">
        <v>0</v>
      </c>
      <c r="HZ8">
        <v>0</v>
      </c>
      <c r="IA8">
        <v>309</v>
      </c>
      <c r="IB8">
        <v>798</v>
      </c>
      <c r="IC8">
        <v>1021</v>
      </c>
      <c r="ID8">
        <v>1203</v>
      </c>
      <c r="IE8">
        <v>929</v>
      </c>
      <c r="IF8">
        <v>657</v>
      </c>
      <c r="IG8">
        <v>332</v>
      </c>
      <c r="IH8">
        <v>193</v>
      </c>
      <c r="II8">
        <v>214</v>
      </c>
      <c r="IJ8">
        <v>409</v>
      </c>
      <c r="IK8">
        <v>1429</v>
      </c>
      <c r="IL8">
        <v>1580</v>
      </c>
      <c r="IM8">
        <v>1570</v>
      </c>
      <c r="IN8">
        <v>518</v>
      </c>
      <c r="IO8">
        <v>120</v>
      </c>
      <c r="IP8">
        <v>20</v>
      </c>
      <c r="IQ8">
        <v>7</v>
      </c>
      <c r="IR8">
        <v>3</v>
      </c>
      <c r="IS8">
        <v>2725</v>
      </c>
      <c r="IT8">
        <v>2173</v>
      </c>
      <c r="IU8">
        <v>622</v>
      </c>
      <c r="IV8">
        <v>113</v>
      </c>
      <c r="IW8">
        <v>23</v>
      </c>
      <c r="IX8">
        <v>1994</v>
      </c>
      <c r="IY8">
        <v>1196</v>
      </c>
      <c r="IZ8">
        <v>7</v>
      </c>
      <c r="JA8">
        <v>53</v>
      </c>
      <c r="JB8">
        <v>1</v>
      </c>
      <c r="JC8">
        <v>480</v>
      </c>
      <c r="JD8">
        <v>5199</v>
      </c>
      <c r="JE8">
        <v>457</v>
      </c>
      <c r="JF8">
        <v>0</v>
      </c>
      <c r="JH8" s="28">
        <v>3974.2961473284963</v>
      </c>
      <c r="JI8" s="28">
        <v>308.40102143710033</v>
      </c>
      <c r="JJ8">
        <v>1439</v>
      </c>
      <c r="JK8">
        <v>3961</v>
      </c>
      <c r="JL8">
        <v>256</v>
      </c>
      <c r="JM8">
        <v>0</v>
      </c>
      <c r="JN8">
        <v>2362</v>
      </c>
      <c r="JO8">
        <v>966</v>
      </c>
      <c r="JP8">
        <v>222</v>
      </c>
      <c r="JQ8">
        <v>2244</v>
      </c>
      <c r="JR8">
        <v>3339</v>
      </c>
      <c r="JS8">
        <v>137</v>
      </c>
      <c r="JT8">
        <v>53</v>
      </c>
      <c r="JU8">
        <v>1836</v>
      </c>
      <c r="JV8">
        <v>450</v>
      </c>
      <c r="JW8" s="28"/>
      <c r="JX8" s="28"/>
      <c r="JY8" s="28"/>
      <c r="JZ8" s="28"/>
      <c r="KA8" s="28">
        <v>5381.0000199200003</v>
      </c>
      <c r="KB8">
        <v>21810</v>
      </c>
      <c r="KC8">
        <v>0</v>
      </c>
      <c r="KD8">
        <v>1</v>
      </c>
      <c r="KE8">
        <v>0</v>
      </c>
      <c r="KF8">
        <v>21</v>
      </c>
      <c r="KG8">
        <v>0</v>
      </c>
      <c r="KH8">
        <v>0</v>
      </c>
      <c r="KI8">
        <v>0</v>
      </c>
      <c r="KJ8">
        <v>6286</v>
      </c>
      <c r="KK8">
        <v>17107</v>
      </c>
      <c r="KL8">
        <v>1027</v>
      </c>
      <c r="KM8">
        <v>0</v>
      </c>
      <c r="KT8">
        <v>3897</v>
      </c>
      <c r="KU8">
        <v>3843</v>
      </c>
      <c r="KV8">
        <v>3391</v>
      </c>
      <c r="KW8">
        <v>273</v>
      </c>
      <c r="KX8">
        <v>32</v>
      </c>
      <c r="KZ8">
        <v>3337</v>
      </c>
      <c r="LA8">
        <v>275</v>
      </c>
      <c r="LB8">
        <v>26</v>
      </c>
      <c r="LD8">
        <v>1903</v>
      </c>
      <c r="LE8">
        <v>1968</v>
      </c>
      <c r="LF8">
        <v>1056</v>
      </c>
      <c r="LG8">
        <v>1623</v>
      </c>
      <c r="LH8">
        <v>15684</v>
      </c>
      <c r="LI8">
        <v>51</v>
      </c>
      <c r="LJ8">
        <v>1475</v>
      </c>
      <c r="LK8">
        <v>261</v>
      </c>
      <c r="LL8">
        <v>2038</v>
      </c>
      <c r="LM8">
        <v>1</v>
      </c>
      <c r="LN8">
        <v>1108</v>
      </c>
      <c r="LO8">
        <v>124</v>
      </c>
      <c r="LP8">
        <v>29</v>
      </c>
      <c r="LQ8">
        <v>1275</v>
      </c>
      <c r="LR8">
        <v>227</v>
      </c>
      <c r="LS8">
        <v>2527</v>
      </c>
      <c r="LT8">
        <v>0</v>
      </c>
      <c r="LU8">
        <v>837</v>
      </c>
      <c r="LV8">
        <v>94</v>
      </c>
      <c r="LW8" s="44"/>
      <c r="LX8" s="44"/>
      <c r="LY8" s="44"/>
      <c r="LZ8">
        <v>5656</v>
      </c>
      <c r="MA8">
        <v>24420</v>
      </c>
      <c r="MB8">
        <v>19348</v>
      </c>
      <c r="MC8">
        <v>3455</v>
      </c>
      <c r="MD8" s="26">
        <v>17.081101999999998</v>
      </c>
      <c r="ME8" s="26">
        <v>10.401802</v>
      </c>
      <c r="MF8" s="26">
        <v>52.206069999999997</v>
      </c>
      <c r="MG8" s="26">
        <v>29.605906999999998</v>
      </c>
      <c r="MH8" s="26">
        <v>25.442007999999998</v>
      </c>
      <c r="MI8" s="26">
        <v>1.8033949999999999</v>
      </c>
      <c r="MJ8" s="26">
        <v>11.050212</v>
      </c>
      <c r="MK8" s="26">
        <v>8.0799149999999997</v>
      </c>
      <c r="ML8" s="26">
        <v>4.8620929999999998</v>
      </c>
      <c r="MM8" s="26">
        <v>82.920791999999992</v>
      </c>
      <c r="MN8" s="26">
        <v>58.239038000000001</v>
      </c>
      <c r="MO8" s="26">
        <v>1.2567739999999998</v>
      </c>
      <c r="MP8" t="s">
        <v>1028</v>
      </c>
      <c r="MQ8">
        <v>291</v>
      </c>
      <c r="MR8">
        <v>32</v>
      </c>
    </row>
    <row r="9" spans="1:356">
      <c r="A9" t="s">
        <v>49</v>
      </c>
      <c r="B9" t="s">
        <v>50</v>
      </c>
      <c r="C9">
        <v>26094</v>
      </c>
      <c r="D9">
        <v>29547</v>
      </c>
      <c r="E9">
        <v>31735</v>
      </c>
      <c r="F9">
        <f t="shared" si="0"/>
        <v>2188</v>
      </c>
      <c r="G9" s="26">
        <f t="shared" si="1"/>
        <v>7.4051511151724299</v>
      </c>
      <c r="H9">
        <v>15428</v>
      </c>
      <c r="I9">
        <v>16307</v>
      </c>
      <c r="J9">
        <v>5820</v>
      </c>
      <c r="K9">
        <v>25915</v>
      </c>
      <c r="L9">
        <v>1610</v>
      </c>
      <c r="M9">
        <v>1904</v>
      </c>
      <c r="N9">
        <v>1778</v>
      </c>
      <c r="O9">
        <v>1447</v>
      </c>
      <c r="P9">
        <v>1061</v>
      </c>
      <c r="Q9">
        <v>930</v>
      </c>
      <c r="R9">
        <v>999</v>
      </c>
      <c r="S9">
        <v>1016</v>
      </c>
      <c r="T9">
        <v>934</v>
      </c>
      <c r="U9">
        <v>776</v>
      </c>
      <c r="V9">
        <v>636</v>
      </c>
      <c r="W9">
        <v>555</v>
      </c>
      <c r="X9">
        <v>501</v>
      </c>
      <c r="Y9">
        <v>1280</v>
      </c>
      <c r="Z9">
        <v>1</v>
      </c>
      <c r="AA9">
        <v>1624</v>
      </c>
      <c r="AB9">
        <v>1868</v>
      </c>
      <c r="AC9">
        <v>1816</v>
      </c>
      <c r="AD9">
        <v>1455</v>
      </c>
      <c r="AE9">
        <v>1330</v>
      </c>
      <c r="AF9">
        <v>1244</v>
      </c>
      <c r="AG9">
        <v>1182</v>
      </c>
      <c r="AH9">
        <v>1094</v>
      </c>
      <c r="AI9">
        <v>1001</v>
      </c>
      <c r="AJ9">
        <v>794</v>
      </c>
      <c r="AK9">
        <v>688</v>
      </c>
      <c r="AL9">
        <v>642</v>
      </c>
      <c r="AM9">
        <v>471</v>
      </c>
      <c r="AN9">
        <v>1096</v>
      </c>
      <c r="AO9">
        <v>2</v>
      </c>
      <c r="AP9">
        <v>30723</v>
      </c>
      <c r="AQ9">
        <v>318</v>
      </c>
      <c r="AR9">
        <v>115</v>
      </c>
      <c r="AS9">
        <v>568</v>
      </c>
      <c r="AT9">
        <v>11</v>
      </c>
      <c r="AU9">
        <v>545</v>
      </c>
      <c r="AV9">
        <v>308</v>
      </c>
      <c r="AW9">
        <v>237</v>
      </c>
      <c r="AX9">
        <v>760</v>
      </c>
      <c r="AY9">
        <v>911</v>
      </c>
      <c r="AZ9">
        <v>870</v>
      </c>
      <c r="BA9">
        <v>41</v>
      </c>
      <c r="BB9">
        <v>3</v>
      </c>
      <c r="BC9">
        <v>2</v>
      </c>
      <c r="BD9">
        <v>4</v>
      </c>
      <c r="BE9">
        <v>5</v>
      </c>
      <c r="BF9">
        <v>9</v>
      </c>
      <c r="BG9">
        <v>12</v>
      </c>
      <c r="BH9">
        <v>9</v>
      </c>
      <c r="BI9">
        <v>11</v>
      </c>
      <c r="BJ9">
        <v>8</v>
      </c>
      <c r="BK9">
        <v>8</v>
      </c>
      <c r="BL9">
        <v>10</v>
      </c>
      <c r="BM9">
        <v>11</v>
      </c>
      <c r="BN9">
        <v>8</v>
      </c>
      <c r="BO9">
        <v>11</v>
      </c>
      <c r="BP9">
        <v>11</v>
      </c>
      <c r="BQ9">
        <v>9</v>
      </c>
      <c r="BR9">
        <v>11</v>
      </c>
      <c r="BS9">
        <v>20</v>
      </c>
      <c r="BT9">
        <v>22</v>
      </c>
      <c r="BU9">
        <v>7</v>
      </c>
      <c r="BV9">
        <v>14</v>
      </c>
      <c r="BW9">
        <v>13</v>
      </c>
      <c r="BX9">
        <v>25</v>
      </c>
      <c r="BY9">
        <v>22</v>
      </c>
      <c r="BZ9">
        <v>24</v>
      </c>
      <c r="CA9">
        <v>18</v>
      </c>
      <c r="CB9">
        <v>150</v>
      </c>
      <c r="CC9">
        <v>88</v>
      </c>
      <c r="CD9">
        <v>306</v>
      </c>
      <c r="CE9">
        <v>232</v>
      </c>
      <c r="CF9">
        <v>0</v>
      </c>
      <c r="CG9">
        <v>4</v>
      </c>
      <c r="CH9">
        <v>5952</v>
      </c>
      <c r="CI9">
        <v>1628</v>
      </c>
      <c r="CJ9">
        <v>25963</v>
      </c>
      <c r="CK9">
        <v>5772</v>
      </c>
      <c r="CL9">
        <v>521</v>
      </c>
      <c r="CM9">
        <v>1054</v>
      </c>
      <c r="CN9">
        <v>1400</v>
      </c>
      <c r="CO9">
        <v>1658</v>
      </c>
      <c r="CP9">
        <v>1330</v>
      </c>
      <c r="CQ9">
        <v>1617</v>
      </c>
      <c r="CR9">
        <v>5550</v>
      </c>
      <c r="CS9">
        <v>13845</v>
      </c>
      <c r="CT9">
        <v>2815</v>
      </c>
      <c r="CU9">
        <v>868</v>
      </c>
      <c r="CV9">
        <v>369</v>
      </c>
      <c r="CW9">
        <v>606</v>
      </c>
      <c r="CX9">
        <v>101</v>
      </c>
      <c r="CY9">
        <v>4839</v>
      </c>
      <c r="CZ9">
        <v>2148</v>
      </c>
      <c r="DA9">
        <v>61</v>
      </c>
      <c r="DB9">
        <v>521</v>
      </c>
      <c r="DC9">
        <v>10</v>
      </c>
      <c r="DD9">
        <v>1980</v>
      </c>
      <c r="DE9">
        <v>4841</v>
      </c>
      <c r="DF9">
        <v>7783</v>
      </c>
      <c r="DG9">
        <v>11311</v>
      </c>
      <c r="DH9">
        <v>5820</v>
      </c>
      <c r="DI9">
        <v>0</v>
      </c>
      <c r="DJ9">
        <v>0</v>
      </c>
      <c r="DK9">
        <v>0</v>
      </c>
      <c r="DL9">
        <v>0</v>
      </c>
      <c r="DM9">
        <v>46</v>
      </c>
      <c r="DN9">
        <v>29</v>
      </c>
      <c r="DO9">
        <v>22</v>
      </c>
      <c r="DP9">
        <v>14</v>
      </c>
      <c r="DQ9">
        <v>2</v>
      </c>
      <c r="DR9">
        <v>0</v>
      </c>
      <c r="DS9">
        <v>0</v>
      </c>
      <c r="DT9">
        <v>0</v>
      </c>
      <c r="DU9">
        <v>0</v>
      </c>
      <c r="DV9">
        <v>683</v>
      </c>
      <c r="DW9">
        <v>735</v>
      </c>
      <c r="DX9">
        <v>933</v>
      </c>
      <c r="DY9">
        <v>1089</v>
      </c>
      <c r="DZ9">
        <v>522</v>
      </c>
      <c r="EA9">
        <v>455</v>
      </c>
      <c r="EB9">
        <v>288</v>
      </c>
      <c r="EC9">
        <v>228</v>
      </c>
      <c r="ED9">
        <v>207</v>
      </c>
      <c r="EE9">
        <v>224</v>
      </c>
      <c r="EF9">
        <v>306</v>
      </c>
      <c r="EG9">
        <v>322</v>
      </c>
      <c r="EH9">
        <v>173</v>
      </c>
      <c r="EI9">
        <v>130</v>
      </c>
      <c r="EJ9">
        <v>1116</v>
      </c>
      <c r="EK9">
        <v>1561</v>
      </c>
      <c r="EL9">
        <v>760</v>
      </c>
      <c r="EM9">
        <v>374</v>
      </c>
      <c r="EN9">
        <v>329</v>
      </c>
      <c r="EO9">
        <v>495</v>
      </c>
      <c r="EP9">
        <v>230</v>
      </c>
      <c r="EQ9">
        <v>8936</v>
      </c>
      <c r="ER9">
        <v>8835</v>
      </c>
      <c r="ES9">
        <v>101</v>
      </c>
      <c r="ET9">
        <v>2149</v>
      </c>
      <c r="EU9">
        <v>3642</v>
      </c>
      <c r="EV9">
        <v>3608</v>
      </c>
      <c r="EW9">
        <v>34</v>
      </c>
      <c r="EX9">
        <v>8382</v>
      </c>
      <c r="EY9" s="26">
        <v>56.215252</v>
      </c>
      <c r="EZ9" s="26">
        <v>9.6506869999999996</v>
      </c>
      <c r="FA9" s="26">
        <v>13.007448</v>
      </c>
      <c r="FB9" s="26">
        <v>20.874856000000001</v>
      </c>
      <c r="FC9" s="26">
        <v>0.25175700000000001</v>
      </c>
      <c r="FD9">
        <v>1421</v>
      </c>
      <c r="FE9">
        <v>5539</v>
      </c>
      <c r="FF9">
        <v>440</v>
      </c>
      <c r="FG9">
        <v>2649</v>
      </c>
      <c r="FH9">
        <v>4</v>
      </c>
      <c r="FI9">
        <v>1630</v>
      </c>
      <c r="FJ9">
        <v>890</v>
      </c>
      <c r="FK9" s="26" t="s">
        <v>359</v>
      </c>
      <c r="FL9" s="26" t="s">
        <v>359</v>
      </c>
      <c r="FM9" s="26" t="s">
        <v>359</v>
      </c>
      <c r="FN9" s="26" t="s">
        <v>359</v>
      </c>
      <c r="FO9" s="28">
        <v>11800</v>
      </c>
      <c r="FP9" s="28">
        <v>3626</v>
      </c>
      <c r="FQ9">
        <v>373</v>
      </c>
      <c r="FR9">
        <v>213</v>
      </c>
      <c r="FS9">
        <v>51</v>
      </c>
      <c r="FT9">
        <v>17</v>
      </c>
      <c r="FU9">
        <v>10484</v>
      </c>
      <c r="FV9">
        <v>3</v>
      </c>
      <c r="FW9">
        <v>42</v>
      </c>
      <c r="FX9">
        <v>2</v>
      </c>
      <c r="FY9">
        <v>12899</v>
      </c>
      <c r="FZ9">
        <v>3401</v>
      </c>
      <c r="GA9">
        <v>389</v>
      </c>
      <c r="GB9">
        <v>245</v>
      </c>
      <c r="GC9">
        <v>56</v>
      </c>
      <c r="GD9">
        <v>15</v>
      </c>
      <c r="GE9">
        <v>11483</v>
      </c>
      <c r="GF9">
        <v>1</v>
      </c>
      <c r="GG9">
        <v>43</v>
      </c>
      <c r="GH9">
        <v>7</v>
      </c>
      <c r="GI9">
        <v>1119</v>
      </c>
      <c r="GJ9">
        <v>1573</v>
      </c>
      <c r="GK9">
        <v>1469</v>
      </c>
      <c r="GL9">
        <v>1162</v>
      </c>
      <c r="GM9">
        <v>752</v>
      </c>
      <c r="GN9">
        <v>669</v>
      </c>
      <c r="GO9">
        <v>754</v>
      </c>
      <c r="GP9">
        <v>776</v>
      </c>
      <c r="GQ9">
        <v>709</v>
      </c>
      <c r="GR9">
        <v>600</v>
      </c>
      <c r="GS9">
        <v>475</v>
      </c>
      <c r="GT9">
        <v>412</v>
      </c>
      <c r="GU9">
        <v>357</v>
      </c>
      <c r="GV9">
        <v>301</v>
      </c>
      <c r="GW9">
        <v>240</v>
      </c>
      <c r="GX9">
        <v>189</v>
      </c>
      <c r="GY9">
        <v>129</v>
      </c>
      <c r="GZ9">
        <v>114</v>
      </c>
      <c r="HA9">
        <v>1129</v>
      </c>
      <c r="HB9">
        <v>1522</v>
      </c>
      <c r="HC9">
        <v>1474</v>
      </c>
      <c r="HD9">
        <v>1144</v>
      </c>
      <c r="HE9">
        <v>1011</v>
      </c>
      <c r="HF9">
        <v>996</v>
      </c>
      <c r="HG9">
        <v>966</v>
      </c>
      <c r="HH9">
        <v>901</v>
      </c>
      <c r="HI9">
        <v>834</v>
      </c>
      <c r="HJ9">
        <v>630</v>
      </c>
      <c r="HK9">
        <v>563</v>
      </c>
      <c r="HL9">
        <v>493</v>
      </c>
      <c r="HM9">
        <v>358</v>
      </c>
      <c r="HN9">
        <v>299</v>
      </c>
      <c r="HO9">
        <v>217</v>
      </c>
      <c r="HP9">
        <v>181</v>
      </c>
      <c r="HQ9">
        <v>90</v>
      </c>
      <c r="HR9">
        <v>91</v>
      </c>
      <c r="HS9">
        <v>6393</v>
      </c>
      <c r="HT9">
        <v>0</v>
      </c>
      <c r="HU9">
        <v>0</v>
      </c>
      <c r="HV9">
        <v>0</v>
      </c>
      <c r="HW9">
        <v>6</v>
      </c>
      <c r="HX9">
        <v>0</v>
      </c>
      <c r="HY9">
        <v>5</v>
      </c>
      <c r="HZ9">
        <v>2</v>
      </c>
      <c r="IA9">
        <v>517</v>
      </c>
      <c r="IB9">
        <v>1054</v>
      </c>
      <c r="IC9">
        <v>1398</v>
      </c>
      <c r="ID9">
        <v>1657</v>
      </c>
      <c r="IE9">
        <v>1329</v>
      </c>
      <c r="IF9">
        <v>716</v>
      </c>
      <c r="IG9">
        <v>426</v>
      </c>
      <c r="IH9">
        <v>225</v>
      </c>
      <c r="II9">
        <v>247</v>
      </c>
      <c r="IJ9">
        <v>583</v>
      </c>
      <c r="IK9">
        <v>1826</v>
      </c>
      <c r="IL9">
        <v>2214</v>
      </c>
      <c r="IM9">
        <v>1681</v>
      </c>
      <c r="IN9">
        <v>753</v>
      </c>
      <c r="IO9">
        <v>324</v>
      </c>
      <c r="IP9">
        <v>100</v>
      </c>
      <c r="IQ9">
        <v>56</v>
      </c>
      <c r="IR9">
        <v>30</v>
      </c>
      <c r="IS9">
        <v>2816</v>
      </c>
      <c r="IT9">
        <v>3060</v>
      </c>
      <c r="IU9">
        <v>1307</v>
      </c>
      <c r="IV9">
        <v>312</v>
      </c>
      <c r="IW9">
        <v>72</v>
      </c>
      <c r="IX9">
        <v>3137</v>
      </c>
      <c r="IY9">
        <v>2505</v>
      </c>
      <c r="IZ9">
        <v>3</v>
      </c>
      <c r="JA9">
        <v>91</v>
      </c>
      <c r="JB9">
        <v>1</v>
      </c>
      <c r="JC9">
        <v>467</v>
      </c>
      <c r="JD9">
        <v>7282</v>
      </c>
      <c r="JE9">
        <v>285</v>
      </c>
      <c r="JF9">
        <v>2</v>
      </c>
      <c r="JH9" s="28">
        <v>6063.7295456497632</v>
      </c>
      <c r="JI9" s="28">
        <v>272.11112811805663</v>
      </c>
      <c r="JJ9">
        <v>524</v>
      </c>
      <c r="JK9">
        <v>6375</v>
      </c>
      <c r="JL9">
        <v>668</v>
      </c>
      <c r="JM9">
        <v>2</v>
      </c>
      <c r="JN9">
        <v>5283</v>
      </c>
      <c r="JO9">
        <v>3514</v>
      </c>
      <c r="JP9">
        <v>1450</v>
      </c>
      <c r="JQ9">
        <v>4040</v>
      </c>
      <c r="JR9">
        <v>5844</v>
      </c>
      <c r="JS9">
        <v>540</v>
      </c>
      <c r="JT9">
        <v>554</v>
      </c>
      <c r="JU9">
        <v>5258</v>
      </c>
      <c r="JV9">
        <v>1342</v>
      </c>
      <c r="JW9" s="28"/>
      <c r="JX9" s="28"/>
      <c r="JY9" s="28"/>
      <c r="JZ9" s="28"/>
      <c r="KA9" s="28">
        <v>7472.0000103299999</v>
      </c>
      <c r="KB9">
        <v>27286</v>
      </c>
      <c r="KC9">
        <v>0</v>
      </c>
      <c r="KD9">
        <v>0</v>
      </c>
      <c r="KE9">
        <v>0</v>
      </c>
      <c r="KF9">
        <v>17</v>
      </c>
      <c r="KG9">
        <v>0</v>
      </c>
      <c r="KH9">
        <v>23</v>
      </c>
      <c r="KI9">
        <v>7</v>
      </c>
      <c r="KJ9">
        <v>2295</v>
      </c>
      <c r="KK9">
        <v>26768</v>
      </c>
      <c r="KL9">
        <v>2629</v>
      </c>
      <c r="KM9">
        <v>3</v>
      </c>
      <c r="KT9">
        <v>4529</v>
      </c>
      <c r="KU9">
        <v>4411</v>
      </c>
      <c r="KV9">
        <v>3850</v>
      </c>
      <c r="KW9">
        <v>438</v>
      </c>
      <c r="KX9">
        <v>129</v>
      </c>
      <c r="KZ9">
        <v>3758</v>
      </c>
      <c r="LA9">
        <v>412</v>
      </c>
      <c r="LB9">
        <v>131</v>
      </c>
      <c r="LD9">
        <v>2788</v>
      </c>
      <c r="LE9">
        <v>2772</v>
      </c>
      <c r="LF9">
        <v>1207</v>
      </c>
      <c r="LG9">
        <v>2038</v>
      </c>
      <c r="LH9">
        <v>21132</v>
      </c>
      <c r="LI9">
        <v>20</v>
      </c>
      <c r="LJ9">
        <v>2314</v>
      </c>
      <c r="LK9">
        <v>322</v>
      </c>
      <c r="LL9">
        <v>2060</v>
      </c>
      <c r="LM9">
        <v>3</v>
      </c>
      <c r="LN9">
        <v>1004</v>
      </c>
      <c r="LO9">
        <v>386</v>
      </c>
      <c r="LP9">
        <v>16</v>
      </c>
      <c r="LQ9">
        <v>2218</v>
      </c>
      <c r="LR9">
        <v>307</v>
      </c>
      <c r="LS9">
        <v>2412</v>
      </c>
      <c r="LT9">
        <v>1</v>
      </c>
      <c r="LU9">
        <v>1067</v>
      </c>
      <c r="LV9">
        <v>336</v>
      </c>
      <c r="LW9" s="44"/>
      <c r="LX9" s="44"/>
      <c r="LY9" s="44"/>
      <c r="LZ9">
        <v>7569</v>
      </c>
      <c r="MA9">
        <v>31695</v>
      </c>
      <c r="MB9">
        <v>30732</v>
      </c>
      <c r="MC9">
        <v>576</v>
      </c>
      <c r="MD9" s="26">
        <v>15.355858</v>
      </c>
      <c r="ME9" s="26">
        <v>9.3956699999999991</v>
      </c>
      <c r="MF9" s="26">
        <v>58.517887999999999</v>
      </c>
      <c r="MG9" s="26">
        <v>22.142744999999998</v>
      </c>
      <c r="MH9" s="26">
        <v>6.9229750000000001</v>
      </c>
      <c r="MI9" s="26">
        <v>1.942132</v>
      </c>
      <c r="MJ9" s="26">
        <v>3.1311929999999997</v>
      </c>
      <c r="MK9" s="26">
        <v>3.7653589999999997</v>
      </c>
      <c r="ML9" s="26">
        <v>1.2815429999999999</v>
      </c>
      <c r="MM9" s="26">
        <v>53.573788</v>
      </c>
      <c r="MN9" s="26">
        <v>30.20214</v>
      </c>
      <c r="MO9" s="26">
        <v>0.22950899999999999</v>
      </c>
      <c r="MP9" t="s">
        <v>1029</v>
      </c>
      <c r="MQ9">
        <v>808</v>
      </c>
      <c r="MR9">
        <v>75</v>
      </c>
    </row>
    <row r="10" spans="1:356">
      <c r="A10" t="s">
        <v>51</v>
      </c>
      <c r="B10" t="s">
        <v>52</v>
      </c>
      <c r="C10">
        <v>6559</v>
      </c>
      <c r="D10">
        <v>8728</v>
      </c>
      <c r="E10">
        <v>11283</v>
      </c>
      <c r="F10">
        <f t="shared" si="0"/>
        <v>2555</v>
      </c>
      <c r="G10" s="26">
        <f t="shared" si="1"/>
        <v>29.273602199816679</v>
      </c>
      <c r="H10">
        <v>5373</v>
      </c>
      <c r="I10">
        <v>5910</v>
      </c>
      <c r="J10">
        <v>5920</v>
      </c>
      <c r="K10">
        <v>5363</v>
      </c>
      <c r="L10">
        <v>682</v>
      </c>
      <c r="M10">
        <v>685</v>
      </c>
      <c r="N10">
        <v>670</v>
      </c>
      <c r="O10">
        <v>537</v>
      </c>
      <c r="P10">
        <v>498</v>
      </c>
      <c r="Q10">
        <v>403</v>
      </c>
      <c r="R10">
        <v>348</v>
      </c>
      <c r="S10">
        <v>311</v>
      </c>
      <c r="T10">
        <v>258</v>
      </c>
      <c r="U10">
        <v>271</v>
      </c>
      <c r="V10">
        <v>185</v>
      </c>
      <c r="W10">
        <v>139</v>
      </c>
      <c r="X10">
        <v>115</v>
      </c>
      <c r="Y10">
        <v>271</v>
      </c>
      <c r="Z10">
        <v>0</v>
      </c>
      <c r="AA10">
        <v>605</v>
      </c>
      <c r="AB10">
        <v>659</v>
      </c>
      <c r="AC10">
        <v>688</v>
      </c>
      <c r="AD10">
        <v>642</v>
      </c>
      <c r="AE10">
        <v>571</v>
      </c>
      <c r="AF10">
        <v>516</v>
      </c>
      <c r="AG10">
        <v>418</v>
      </c>
      <c r="AH10">
        <v>374</v>
      </c>
      <c r="AI10">
        <v>333</v>
      </c>
      <c r="AJ10">
        <v>277</v>
      </c>
      <c r="AK10">
        <v>197</v>
      </c>
      <c r="AL10">
        <v>172</v>
      </c>
      <c r="AM10">
        <v>153</v>
      </c>
      <c r="AN10">
        <v>305</v>
      </c>
      <c r="AO10">
        <v>0</v>
      </c>
      <c r="AP10">
        <v>11268</v>
      </c>
      <c r="AQ10">
        <v>13</v>
      </c>
      <c r="AR10">
        <v>0</v>
      </c>
      <c r="AS10">
        <v>1</v>
      </c>
      <c r="AT10">
        <v>1</v>
      </c>
      <c r="AU10">
        <v>7514</v>
      </c>
      <c r="AV10">
        <v>3524</v>
      </c>
      <c r="AW10">
        <v>3990</v>
      </c>
      <c r="AX10">
        <v>3508</v>
      </c>
      <c r="AY10">
        <v>5823</v>
      </c>
      <c r="AZ10">
        <v>1778</v>
      </c>
      <c r="BA10">
        <v>4045</v>
      </c>
      <c r="BB10">
        <v>151</v>
      </c>
      <c r="BC10">
        <v>141</v>
      </c>
      <c r="BD10">
        <v>428</v>
      </c>
      <c r="BE10">
        <v>419</v>
      </c>
      <c r="BF10">
        <v>418</v>
      </c>
      <c r="BG10">
        <v>453</v>
      </c>
      <c r="BH10">
        <v>346</v>
      </c>
      <c r="BI10">
        <v>422</v>
      </c>
      <c r="BJ10">
        <v>330</v>
      </c>
      <c r="BK10">
        <v>393</v>
      </c>
      <c r="BL10">
        <v>298</v>
      </c>
      <c r="BM10">
        <v>379</v>
      </c>
      <c r="BN10">
        <v>272</v>
      </c>
      <c r="BO10">
        <v>300</v>
      </c>
      <c r="BP10">
        <v>246</v>
      </c>
      <c r="BQ10">
        <v>290</v>
      </c>
      <c r="BR10">
        <v>211</v>
      </c>
      <c r="BS10">
        <v>267</v>
      </c>
      <c r="BT10">
        <v>223</v>
      </c>
      <c r="BU10">
        <v>236</v>
      </c>
      <c r="BV10">
        <v>165</v>
      </c>
      <c r="BW10">
        <v>174</v>
      </c>
      <c r="BX10">
        <v>122</v>
      </c>
      <c r="BY10">
        <v>141</v>
      </c>
      <c r="BZ10">
        <v>101</v>
      </c>
      <c r="CA10">
        <v>130</v>
      </c>
      <c r="CB10">
        <v>213</v>
      </c>
      <c r="CC10">
        <v>245</v>
      </c>
      <c r="CD10">
        <v>3126</v>
      </c>
      <c r="CE10">
        <v>3229</v>
      </c>
      <c r="CF10">
        <v>365</v>
      </c>
      <c r="CG10">
        <v>746</v>
      </c>
      <c r="CH10">
        <v>2145</v>
      </c>
      <c r="CI10">
        <v>414</v>
      </c>
      <c r="CJ10">
        <v>10122</v>
      </c>
      <c r="CK10">
        <v>1151</v>
      </c>
      <c r="CL10">
        <v>169</v>
      </c>
      <c r="CM10">
        <v>368</v>
      </c>
      <c r="CN10">
        <v>455</v>
      </c>
      <c r="CO10">
        <v>491</v>
      </c>
      <c r="CP10">
        <v>396</v>
      </c>
      <c r="CQ10">
        <v>680</v>
      </c>
      <c r="CR10">
        <v>2064</v>
      </c>
      <c r="CS10">
        <v>5699</v>
      </c>
      <c r="CT10">
        <v>466</v>
      </c>
      <c r="CU10">
        <v>273</v>
      </c>
      <c r="CV10">
        <v>76</v>
      </c>
      <c r="CW10">
        <v>135</v>
      </c>
      <c r="CX10">
        <v>1</v>
      </c>
      <c r="CY10">
        <v>1917</v>
      </c>
      <c r="CZ10">
        <v>472</v>
      </c>
      <c r="DA10">
        <v>1</v>
      </c>
      <c r="DB10">
        <v>169</v>
      </c>
      <c r="DC10">
        <v>0</v>
      </c>
      <c r="DD10">
        <v>1512</v>
      </c>
      <c r="DE10">
        <v>1844</v>
      </c>
      <c r="DF10">
        <v>650</v>
      </c>
      <c r="DG10">
        <v>1357</v>
      </c>
      <c r="DH10">
        <v>0</v>
      </c>
      <c r="DI10">
        <v>5920</v>
      </c>
      <c r="DJ10">
        <v>0</v>
      </c>
      <c r="DK10">
        <v>0</v>
      </c>
      <c r="DL10">
        <v>0</v>
      </c>
      <c r="DM10">
        <v>35</v>
      </c>
      <c r="DN10">
        <v>10</v>
      </c>
      <c r="DO10">
        <v>2</v>
      </c>
      <c r="DP10">
        <v>2</v>
      </c>
      <c r="DQ10">
        <v>0</v>
      </c>
      <c r="DR10">
        <v>1</v>
      </c>
      <c r="DS10">
        <v>0</v>
      </c>
      <c r="DT10">
        <v>0</v>
      </c>
      <c r="DU10">
        <v>0</v>
      </c>
      <c r="DV10">
        <v>147</v>
      </c>
      <c r="DW10">
        <v>214</v>
      </c>
      <c r="DX10">
        <v>173</v>
      </c>
      <c r="DY10">
        <v>219</v>
      </c>
      <c r="DZ10">
        <v>131</v>
      </c>
      <c r="EA10">
        <v>139</v>
      </c>
      <c r="EB10">
        <v>57</v>
      </c>
      <c r="EC10">
        <v>64</v>
      </c>
      <c r="ED10">
        <v>54</v>
      </c>
      <c r="EE10">
        <v>77</v>
      </c>
      <c r="EF10">
        <v>56</v>
      </c>
      <c r="EG10">
        <v>76</v>
      </c>
      <c r="EH10">
        <v>23</v>
      </c>
      <c r="EI10">
        <v>24</v>
      </c>
      <c r="EJ10">
        <v>280</v>
      </c>
      <c r="EK10">
        <v>310</v>
      </c>
      <c r="EL10">
        <v>216</v>
      </c>
      <c r="EM10">
        <v>89</v>
      </c>
      <c r="EN10">
        <v>102</v>
      </c>
      <c r="EO10">
        <v>103</v>
      </c>
      <c r="EP10">
        <v>32</v>
      </c>
      <c r="EQ10">
        <v>2770</v>
      </c>
      <c r="ER10">
        <v>2668</v>
      </c>
      <c r="ES10">
        <v>102</v>
      </c>
      <c r="ET10">
        <v>969</v>
      </c>
      <c r="EU10">
        <v>1683</v>
      </c>
      <c r="EV10">
        <v>1680</v>
      </c>
      <c r="EW10">
        <v>3</v>
      </c>
      <c r="EX10">
        <v>2672</v>
      </c>
      <c r="EY10" s="26">
        <v>50.571821</v>
      </c>
      <c r="EZ10" s="26">
        <v>43.023787999999996</v>
      </c>
      <c r="FA10" s="26">
        <v>2.058554</v>
      </c>
      <c r="FB10" s="26">
        <v>4.2314730000000003</v>
      </c>
      <c r="FC10" s="26">
        <v>0.11436399999999999</v>
      </c>
      <c r="FD10">
        <v>860</v>
      </c>
      <c r="FE10">
        <v>2322</v>
      </c>
      <c r="FF10">
        <v>85</v>
      </c>
      <c r="FG10">
        <v>710</v>
      </c>
      <c r="FH10">
        <v>0</v>
      </c>
      <c r="FI10">
        <v>380</v>
      </c>
      <c r="FJ10">
        <v>96</v>
      </c>
      <c r="FK10" s="26" t="s">
        <v>359</v>
      </c>
      <c r="FL10" s="26" t="s">
        <v>359</v>
      </c>
      <c r="FM10" s="26" t="s">
        <v>359</v>
      </c>
      <c r="FN10" s="26" t="s">
        <v>359</v>
      </c>
      <c r="FO10" s="28">
        <v>3925</v>
      </c>
      <c r="FP10" s="28">
        <v>1446</v>
      </c>
      <c r="FQ10">
        <v>239</v>
      </c>
      <c r="FR10">
        <v>8</v>
      </c>
      <c r="FS10">
        <v>0</v>
      </c>
      <c r="FT10">
        <v>1</v>
      </c>
      <c r="FU10">
        <v>3081</v>
      </c>
      <c r="FV10">
        <v>22</v>
      </c>
      <c r="FW10">
        <v>2</v>
      </c>
      <c r="FX10">
        <v>2</v>
      </c>
      <c r="FY10">
        <v>4357</v>
      </c>
      <c r="FZ10">
        <v>1552</v>
      </c>
      <c r="GA10">
        <v>206</v>
      </c>
      <c r="GB10">
        <v>11</v>
      </c>
      <c r="GC10">
        <v>1</v>
      </c>
      <c r="GD10">
        <v>0</v>
      </c>
      <c r="GE10">
        <v>3442</v>
      </c>
      <c r="GF10">
        <v>24</v>
      </c>
      <c r="GG10">
        <v>4</v>
      </c>
      <c r="GH10">
        <v>1</v>
      </c>
      <c r="GI10">
        <v>431</v>
      </c>
      <c r="GJ10">
        <v>504</v>
      </c>
      <c r="GK10">
        <v>528</v>
      </c>
      <c r="GL10">
        <v>418</v>
      </c>
      <c r="GM10">
        <v>339</v>
      </c>
      <c r="GN10">
        <v>301</v>
      </c>
      <c r="GO10">
        <v>248</v>
      </c>
      <c r="GP10">
        <v>241</v>
      </c>
      <c r="GQ10">
        <v>194</v>
      </c>
      <c r="GR10">
        <v>191</v>
      </c>
      <c r="GS10">
        <v>143</v>
      </c>
      <c r="GT10">
        <v>99</v>
      </c>
      <c r="GU10">
        <v>82</v>
      </c>
      <c r="GV10">
        <v>74</v>
      </c>
      <c r="GW10">
        <v>52</v>
      </c>
      <c r="GX10">
        <v>40</v>
      </c>
      <c r="GY10">
        <v>19</v>
      </c>
      <c r="GZ10">
        <v>21</v>
      </c>
      <c r="HA10">
        <v>362</v>
      </c>
      <c r="HB10">
        <v>484</v>
      </c>
      <c r="HC10">
        <v>535</v>
      </c>
      <c r="HD10">
        <v>469</v>
      </c>
      <c r="HE10">
        <v>425</v>
      </c>
      <c r="HF10">
        <v>387</v>
      </c>
      <c r="HG10">
        <v>326</v>
      </c>
      <c r="HH10">
        <v>284</v>
      </c>
      <c r="HI10">
        <v>263</v>
      </c>
      <c r="HJ10">
        <v>209</v>
      </c>
      <c r="HK10">
        <v>140</v>
      </c>
      <c r="HL10">
        <v>125</v>
      </c>
      <c r="HM10">
        <v>116</v>
      </c>
      <c r="HN10">
        <v>79</v>
      </c>
      <c r="HO10">
        <v>64</v>
      </c>
      <c r="HP10">
        <v>39</v>
      </c>
      <c r="HQ10">
        <v>29</v>
      </c>
      <c r="HR10">
        <v>21</v>
      </c>
      <c r="HS10">
        <v>2085</v>
      </c>
      <c r="HT10">
        <v>0</v>
      </c>
      <c r="HU10">
        <v>0</v>
      </c>
      <c r="HV10">
        <v>0</v>
      </c>
      <c r="HW10">
        <v>0</v>
      </c>
      <c r="HX10">
        <v>0</v>
      </c>
      <c r="HY10">
        <v>0</v>
      </c>
      <c r="HZ10">
        <v>0</v>
      </c>
      <c r="IA10">
        <v>169</v>
      </c>
      <c r="IB10">
        <v>368</v>
      </c>
      <c r="IC10">
        <v>455</v>
      </c>
      <c r="ID10">
        <v>491</v>
      </c>
      <c r="IE10">
        <v>396</v>
      </c>
      <c r="IF10">
        <v>258</v>
      </c>
      <c r="IG10">
        <v>159</v>
      </c>
      <c r="IH10">
        <v>123</v>
      </c>
      <c r="II10">
        <v>140</v>
      </c>
      <c r="IJ10">
        <v>133</v>
      </c>
      <c r="IK10">
        <v>972</v>
      </c>
      <c r="IL10">
        <v>886</v>
      </c>
      <c r="IM10">
        <v>397</v>
      </c>
      <c r="IN10">
        <v>129</v>
      </c>
      <c r="IO10">
        <v>29</v>
      </c>
      <c r="IP10">
        <v>9</v>
      </c>
      <c r="IQ10">
        <v>3</v>
      </c>
      <c r="IR10">
        <v>1</v>
      </c>
      <c r="IS10">
        <v>1300</v>
      </c>
      <c r="IT10">
        <v>917</v>
      </c>
      <c r="IU10">
        <v>260</v>
      </c>
      <c r="IV10">
        <v>68</v>
      </c>
      <c r="IW10">
        <v>14</v>
      </c>
      <c r="IX10">
        <v>387</v>
      </c>
      <c r="IY10">
        <v>1425</v>
      </c>
      <c r="IZ10">
        <v>4</v>
      </c>
      <c r="JA10">
        <v>2</v>
      </c>
      <c r="JB10">
        <v>1</v>
      </c>
      <c r="JC10">
        <v>10</v>
      </c>
      <c r="JD10">
        <v>2044</v>
      </c>
      <c r="JE10">
        <v>515</v>
      </c>
      <c r="JF10">
        <v>0</v>
      </c>
      <c r="JH10" s="28">
        <v>1436.7627942384568</v>
      </c>
      <c r="JI10" s="28">
        <v>380.63410499040998</v>
      </c>
      <c r="JJ10">
        <v>509</v>
      </c>
      <c r="JK10">
        <v>2024</v>
      </c>
      <c r="JL10">
        <v>26</v>
      </c>
      <c r="JM10">
        <v>0</v>
      </c>
      <c r="JN10">
        <v>245</v>
      </c>
      <c r="JO10">
        <v>85</v>
      </c>
      <c r="JP10">
        <v>412</v>
      </c>
      <c r="JQ10">
        <v>1004</v>
      </c>
      <c r="JR10">
        <v>1138</v>
      </c>
      <c r="JS10">
        <v>30</v>
      </c>
      <c r="JT10">
        <v>16</v>
      </c>
      <c r="JU10">
        <v>1023</v>
      </c>
      <c r="JV10">
        <v>19</v>
      </c>
      <c r="JW10" s="28"/>
      <c r="JX10" s="28"/>
      <c r="JY10" s="28"/>
      <c r="JZ10" s="28"/>
      <c r="KA10" s="28">
        <v>2504.0000015699998</v>
      </c>
      <c r="KB10">
        <v>9453</v>
      </c>
      <c r="KC10">
        <v>0</v>
      </c>
      <c r="KD10">
        <v>0</v>
      </c>
      <c r="KE10">
        <v>0</v>
      </c>
      <c r="KF10">
        <v>0</v>
      </c>
      <c r="KG10">
        <v>0</v>
      </c>
      <c r="KH10">
        <v>0</v>
      </c>
      <c r="KI10">
        <v>0</v>
      </c>
      <c r="KJ10">
        <v>2180</v>
      </c>
      <c r="KK10">
        <v>8982</v>
      </c>
      <c r="KL10">
        <v>111</v>
      </c>
      <c r="KM10">
        <v>0</v>
      </c>
      <c r="KT10">
        <v>1567</v>
      </c>
      <c r="KU10">
        <v>1338</v>
      </c>
      <c r="KV10">
        <v>1403</v>
      </c>
      <c r="KW10">
        <v>114</v>
      </c>
      <c r="KX10">
        <v>11</v>
      </c>
      <c r="KZ10">
        <v>1253</v>
      </c>
      <c r="LA10">
        <v>49</v>
      </c>
      <c r="LB10">
        <v>6</v>
      </c>
      <c r="LD10">
        <v>936</v>
      </c>
      <c r="LE10">
        <v>941</v>
      </c>
      <c r="LF10">
        <v>573</v>
      </c>
      <c r="LG10">
        <v>1359</v>
      </c>
      <c r="LH10">
        <v>7294</v>
      </c>
      <c r="LI10">
        <v>8</v>
      </c>
      <c r="LJ10">
        <v>908</v>
      </c>
      <c r="LK10">
        <v>98</v>
      </c>
      <c r="LL10">
        <v>611</v>
      </c>
      <c r="LM10">
        <v>0</v>
      </c>
      <c r="LN10">
        <v>308</v>
      </c>
      <c r="LO10">
        <v>55</v>
      </c>
      <c r="LP10">
        <v>6</v>
      </c>
      <c r="LQ10">
        <v>1094</v>
      </c>
      <c r="LR10">
        <v>77</v>
      </c>
      <c r="LS10">
        <v>453</v>
      </c>
      <c r="LT10">
        <v>0</v>
      </c>
      <c r="LU10">
        <v>171</v>
      </c>
      <c r="LV10">
        <v>26</v>
      </c>
      <c r="LW10" s="44"/>
      <c r="LX10" s="44"/>
      <c r="LY10" s="44"/>
      <c r="LZ10">
        <v>2559</v>
      </c>
      <c r="MA10">
        <v>11273</v>
      </c>
      <c r="MB10">
        <v>9913</v>
      </c>
      <c r="MC10">
        <v>6995</v>
      </c>
      <c r="MD10" s="26">
        <v>26.487524000000001</v>
      </c>
      <c r="ME10" s="26">
        <v>14.570361</v>
      </c>
      <c r="MF10" s="26">
        <v>74.993144999999998</v>
      </c>
      <c r="MG10" s="26">
        <v>26.570947</v>
      </c>
      <c r="MH10" s="26">
        <v>19.890581999999998</v>
      </c>
      <c r="MI10" s="26">
        <v>11.957796</v>
      </c>
      <c r="MJ10" s="26">
        <v>23.563891999999999</v>
      </c>
      <c r="MK10" s="26">
        <v>20.125049000000001</v>
      </c>
      <c r="ML10" s="26">
        <v>2.1492770000000001</v>
      </c>
      <c r="MM10" s="26">
        <v>96.678389999999993</v>
      </c>
      <c r="MN10" s="26">
        <v>90.425947999999991</v>
      </c>
      <c r="MO10" s="26">
        <v>2.3211459999999997</v>
      </c>
      <c r="MP10" t="s">
        <v>1030</v>
      </c>
      <c r="MQ10">
        <v>74</v>
      </c>
      <c r="MR10">
        <v>10</v>
      </c>
    </row>
    <row r="11" spans="1:356">
      <c r="A11" t="s">
        <v>53</v>
      </c>
      <c r="B11" t="s">
        <v>54</v>
      </c>
      <c r="C11">
        <v>21848</v>
      </c>
      <c r="D11">
        <v>26628</v>
      </c>
      <c r="E11">
        <v>31947</v>
      </c>
      <c r="F11">
        <f t="shared" si="0"/>
        <v>5319</v>
      </c>
      <c r="G11" s="26">
        <f t="shared" si="1"/>
        <v>19.975214060387557</v>
      </c>
      <c r="H11">
        <v>15905</v>
      </c>
      <c r="I11">
        <v>16042</v>
      </c>
      <c r="J11">
        <v>18685</v>
      </c>
      <c r="K11">
        <v>13262</v>
      </c>
      <c r="L11">
        <v>1798</v>
      </c>
      <c r="M11">
        <v>1857</v>
      </c>
      <c r="N11">
        <v>1766</v>
      </c>
      <c r="O11">
        <v>1551</v>
      </c>
      <c r="P11">
        <v>1383</v>
      </c>
      <c r="Q11">
        <v>1059</v>
      </c>
      <c r="R11">
        <v>1028</v>
      </c>
      <c r="S11">
        <v>1061</v>
      </c>
      <c r="T11">
        <v>929</v>
      </c>
      <c r="U11">
        <v>769</v>
      </c>
      <c r="V11">
        <v>661</v>
      </c>
      <c r="W11">
        <v>569</v>
      </c>
      <c r="X11">
        <v>430</v>
      </c>
      <c r="Y11">
        <v>1044</v>
      </c>
      <c r="Z11">
        <v>0</v>
      </c>
      <c r="AA11">
        <v>1673</v>
      </c>
      <c r="AB11">
        <v>1833</v>
      </c>
      <c r="AC11">
        <v>1735</v>
      </c>
      <c r="AD11">
        <v>1548</v>
      </c>
      <c r="AE11">
        <v>1380</v>
      </c>
      <c r="AF11">
        <v>1237</v>
      </c>
      <c r="AG11">
        <v>1241</v>
      </c>
      <c r="AH11">
        <v>1211</v>
      </c>
      <c r="AI11">
        <v>942</v>
      </c>
      <c r="AJ11">
        <v>803</v>
      </c>
      <c r="AK11">
        <v>629</v>
      </c>
      <c r="AL11">
        <v>516</v>
      </c>
      <c r="AM11">
        <v>410</v>
      </c>
      <c r="AN11">
        <v>884</v>
      </c>
      <c r="AO11">
        <v>0</v>
      </c>
      <c r="AP11">
        <v>31243</v>
      </c>
      <c r="AQ11">
        <v>377</v>
      </c>
      <c r="AR11">
        <v>58</v>
      </c>
      <c r="AS11">
        <v>264</v>
      </c>
      <c r="AT11">
        <v>5</v>
      </c>
      <c r="AU11">
        <v>972</v>
      </c>
      <c r="AV11">
        <v>501</v>
      </c>
      <c r="AW11">
        <v>471</v>
      </c>
      <c r="AX11">
        <v>636</v>
      </c>
      <c r="AY11">
        <v>808</v>
      </c>
      <c r="AZ11">
        <v>641</v>
      </c>
      <c r="BA11">
        <v>167</v>
      </c>
      <c r="BB11">
        <v>15</v>
      </c>
      <c r="BC11">
        <v>26</v>
      </c>
      <c r="BD11">
        <v>55</v>
      </c>
      <c r="BE11">
        <v>56</v>
      </c>
      <c r="BF11">
        <v>52</v>
      </c>
      <c r="BG11">
        <v>54</v>
      </c>
      <c r="BH11">
        <v>54</v>
      </c>
      <c r="BI11">
        <v>46</v>
      </c>
      <c r="BJ11">
        <v>32</v>
      </c>
      <c r="BK11">
        <v>32</v>
      </c>
      <c r="BL11">
        <v>31</v>
      </c>
      <c r="BM11">
        <v>27</v>
      </c>
      <c r="BN11">
        <v>26</v>
      </c>
      <c r="BO11">
        <v>51</v>
      </c>
      <c r="BP11">
        <v>38</v>
      </c>
      <c r="BQ11">
        <v>39</v>
      </c>
      <c r="BR11">
        <v>34</v>
      </c>
      <c r="BS11">
        <v>27</v>
      </c>
      <c r="BT11">
        <v>28</v>
      </c>
      <c r="BU11">
        <v>20</v>
      </c>
      <c r="BV11">
        <v>33</v>
      </c>
      <c r="BW11">
        <v>19</v>
      </c>
      <c r="BX11">
        <v>30</v>
      </c>
      <c r="BY11">
        <v>21</v>
      </c>
      <c r="BZ11">
        <v>23</v>
      </c>
      <c r="CA11">
        <v>22</v>
      </c>
      <c r="CB11">
        <v>50</v>
      </c>
      <c r="CC11">
        <v>31</v>
      </c>
      <c r="CD11">
        <v>470</v>
      </c>
      <c r="CE11">
        <v>436</v>
      </c>
      <c r="CF11">
        <v>31</v>
      </c>
      <c r="CG11">
        <v>33</v>
      </c>
      <c r="CH11">
        <v>5369</v>
      </c>
      <c r="CI11">
        <v>1927</v>
      </c>
      <c r="CJ11">
        <v>24299</v>
      </c>
      <c r="CK11">
        <v>7616</v>
      </c>
      <c r="CL11">
        <v>514</v>
      </c>
      <c r="CM11">
        <v>910</v>
      </c>
      <c r="CN11">
        <v>1192</v>
      </c>
      <c r="CO11">
        <v>1557</v>
      </c>
      <c r="CP11">
        <v>1293</v>
      </c>
      <c r="CQ11">
        <v>1830</v>
      </c>
      <c r="CR11">
        <v>5351</v>
      </c>
      <c r="CS11">
        <v>14087</v>
      </c>
      <c r="CT11">
        <v>2974</v>
      </c>
      <c r="CU11">
        <v>1083</v>
      </c>
      <c r="CV11">
        <v>287</v>
      </c>
      <c r="CW11">
        <v>744</v>
      </c>
      <c r="CX11">
        <v>91</v>
      </c>
      <c r="CY11">
        <v>4563</v>
      </c>
      <c r="CZ11">
        <v>2154</v>
      </c>
      <c r="DA11">
        <v>49</v>
      </c>
      <c r="DB11">
        <v>514</v>
      </c>
      <c r="DC11">
        <v>14</v>
      </c>
      <c r="DD11">
        <v>1210</v>
      </c>
      <c r="DE11">
        <v>930</v>
      </c>
      <c r="DF11">
        <v>1735</v>
      </c>
      <c r="DG11">
        <v>9387</v>
      </c>
      <c r="DH11">
        <v>6810</v>
      </c>
      <c r="DI11">
        <v>0</v>
      </c>
      <c r="DJ11">
        <v>11875</v>
      </c>
      <c r="DK11">
        <v>0</v>
      </c>
      <c r="DL11">
        <v>0</v>
      </c>
      <c r="DM11">
        <v>68</v>
      </c>
      <c r="DN11">
        <v>6</v>
      </c>
      <c r="DO11">
        <v>5</v>
      </c>
      <c r="DP11">
        <v>9</v>
      </c>
      <c r="DQ11">
        <v>2</v>
      </c>
      <c r="DR11">
        <v>0</v>
      </c>
      <c r="DS11">
        <v>1</v>
      </c>
      <c r="DT11">
        <v>0</v>
      </c>
      <c r="DU11">
        <v>0</v>
      </c>
      <c r="DV11">
        <v>690</v>
      </c>
      <c r="DW11">
        <v>693</v>
      </c>
      <c r="DX11">
        <v>887</v>
      </c>
      <c r="DY11">
        <v>979</v>
      </c>
      <c r="DZ11">
        <v>415</v>
      </c>
      <c r="EA11">
        <v>356</v>
      </c>
      <c r="EB11">
        <v>240</v>
      </c>
      <c r="EC11">
        <v>199</v>
      </c>
      <c r="ED11">
        <v>167</v>
      </c>
      <c r="EE11">
        <v>178</v>
      </c>
      <c r="EF11">
        <v>314</v>
      </c>
      <c r="EG11">
        <v>375</v>
      </c>
      <c r="EH11">
        <v>167</v>
      </c>
      <c r="EI11">
        <v>120</v>
      </c>
      <c r="EJ11">
        <v>1018</v>
      </c>
      <c r="EK11">
        <v>1377</v>
      </c>
      <c r="EL11">
        <v>587</v>
      </c>
      <c r="EM11">
        <v>327</v>
      </c>
      <c r="EN11">
        <v>259</v>
      </c>
      <c r="EO11">
        <v>514</v>
      </c>
      <c r="EP11">
        <v>230</v>
      </c>
      <c r="EQ11">
        <v>9465</v>
      </c>
      <c r="ER11">
        <v>9379</v>
      </c>
      <c r="ES11">
        <v>86</v>
      </c>
      <c r="ET11">
        <v>2033</v>
      </c>
      <c r="EU11">
        <v>5224</v>
      </c>
      <c r="EV11">
        <v>5201</v>
      </c>
      <c r="EW11">
        <v>23</v>
      </c>
      <c r="EX11">
        <v>6563</v>
      </c>
      <c r="EY11" s="26">
        <v>47.127851</v>
      </c>
      <c r="EZ11" s="26">
        <v>12.889184</v>
      </c>
      <c r="FA11" s="26">
        <v>16.674553</v>
      </c>
      <c r="FB11" s="26">
        <v>23.109680999999998</v>
      </c>
      <c r="FC11" s="26">
        <v>0.19873199999999999</v>
      </c>
      <c r="FD11">
        <v>2017</v>
      </c>
      <c r="FE11">
        <v>5449</v>
      </c>
      <c r="FF11">
        <v>827</v>
      </c>
      <c r="FG11">
        <v>2876</v>
      </c>
      <c r="FH11">
        <v>7</v>
      </c>
      <c r="FI11">
        <v>2352</v>
      </c>
      <c r="FJ11">
        <v>1154</v>
      </c>
      <c r="FK11" s="26" t="s">
        <v>359</v>
      </c>
      <c r="FL11" s="26" t="s">
        <v>359</v>
      </c>
      <c r="FM11" s="26" t="s">
        <v>359</v>
      </c>
      <c r="FN11" s="26" t="s">
        <v>359</v>
      </c>
      <c r="FO11" s="28">
        <v>11175</v>
      </c>
      <c r="FP11" s="28">
        <v>4728</v>
      </c>
      <c r="FQ11">
        <v>370</v>
      </c>
      <c r="FR11">
        <v>218</v>
      </c>
      <c r="FS11">
        <v>77</v>
      </c>
      <c r="FT11">
        <v>10</v>
      </c>
      <c r="FU11">
        <v>10454</v>
      </c>
      <c r="FV11">
        <v>15</v>
      </c>
      <c r="FW11">
        <v>14</v>
      </c>
      <c r="FX11">
        <v>2</v>
      </c>
      <c r="FY11">
        <v>12129</v>
      </c>
      <c r="FZ11">
        <v>3911</v>
      </c>
      <c r="GA11">
        <v>357</v>
      </c>
      <c r="GB11">
        <v>228</v>
      </c>
      <c r="GC11">
        <v>77</v>
      </c>
      <c r="GD11">
        <v>20</v>
      </c>
      <c r="GE11">
        <v>11403</v>
      </c>
      <c r="GF11">
        <v>13</v>
      </c>
      <c r="GG11">
        <v>28</v>
      </c>
      <c r="GH11">
        <v>2</v>
      </c>
      <c r="GI11">
        <v>1137</v>
      </c>
      <c r="GJ11">
        <v>1422</v>
      </c>
      <c r="GK11">
        <v>1361</v>
      </c>
      <c r="GL11">
        <v>1102</v>
      </c>
      <c r="GM11">
        <v>886</v>
      </c>
      <c r="GN11">
        <v>741</v>
      </c>
      <c r="GO11">
        <v>738</v>
      </c>
      <c r="GP11">
        <v>745</v>
      </c>
      <c r="GQ11">
        <v>673</v>
      </c>
      <c r="GR11">
        <v>534</v>
      </c>
      <c r="GS11">
        <v>453</v>
      </c>
      <c r="GT11">
        <v>372</v>
      </c>
      <c r="GU11">
        <v>292</v>
      </c>
      <c r="GV11">
        <v>246</v>
      </c>
      <c r="GW11">
        <v>191</v>
      </c>
      <c r="GX11">
        <v>141</v>
      </c>
      <c r="GY11">
        <v>79</v>
      </c>
      <c r="GZ11">
        <v>62</v>
      </c>
      <c r="HA11">
        <v>1087</v>
      </c>
      <c r="HB11">
        <v>1434</v>
      </c>
      <c r="HC11">
        <v>1352</v>
      </c>
      <c r="HD11">
        <v>1144</v>
      </c>
      <c r="HE11">
        <v>1047</v>
      </c>
      <c r="HF11">
        <v>957</v>
      </c>
      <c r="HG11">
        <v>957</v>
      </c>
      <c r="HH11">
        <v>970</v>
      </c>
      <c r="HI11">
        <v>715</v>
      </c>
      <c r="HJ11">
        <v>615</v>
      </c>
      <c r="HK11">
        <v>479</v>
      </c>
      <c r="HL11">
        <v>397</v>
      </c>
      <c r="HM11">
        <v>306</v>
      </c>
      <c r="HN11">
        <v>242</v>
      </c>
      <c r="HO11">
        <v>152</v>
      </c>
      <c r="HP11">
        <v>139</v>
      </c>
      <c r="HQ11">
        <v>65</v>
      </c>
      <c r="HR11">
        <v>71</v>
      </c>
      <c r="HS11">
        <v>6701</v>
      </c>
      <c r="HT11">
        <v>0</v>
      </c>
      <c r="HU11">
        <v>28</v>
      </c>
      <c r="HV11">
        <v>0</v>
      </c>
      <c r="HW11">
        <v>61</v>
      </c>
      <c r="HX11">
        <v>0</v>
      </c>
      <c r="HY11">
        <v>14</v>
      </c>
      <c r="HZ11">
        <v>9</v>
      </c>
      <c r="IA11">
        <v>507</v>
      </c>
      <c r="IB11">
        <v>893</v>
      </c>
      <c r="IC11">
        <v>1179</v>
      </c>
      <c r="ID11">
        <v>1546</v>
      </c>
      <c r="IE11">
        <v>1277</v>
      </c>
      <c r="IF11">
        <v>782</v>
      </c>
      <c r="IG11">
        <v>467</v>
      </c>
      <c r="IH11">
        <v>261</v>
      </c>
      <c r="II11">
        <v>309</v>
      </c>
      <c r="IJ11">
        <v>1071</v>
      </c>
      <c r="IK11">
        <v>1848</v>
      </c>
      <c r="IL11">
        <v>1857</v>
      </c>
      <c r="IM11">
        <v>1448</v>
      </c>
      <c r="IN11">
        <v>701</v>
      </c>
      <c r="IO11">
        <v>203</v>
      </c>
      <c r="IP11">
        <v>61</v>
      </c>
      <c r="IQ11">
        <v>21</v>
      </c>
      <c r="IR11">
        <v>8</v>
      </c>
      <c r="IS11">
        <v>3027</v>
      </c>
      <c r="IT11">
        <v>2712</v>
      </c>
      <c r="IU11">
        <v>1160</v>
      </c>
      <c r="IV11">
        <v>258</v>
      </c>
      <c r="IW11">
        <v>61</v>
      </c>
      <c r="IX11">
        <v>3692</v>
      </c>
      <c r="IY11">
        <v>2644</v>
      </c>
      <c r="IZ11">
        <v>1</v>
      </c>
      <c r="JA11">
        <v>46</v>
      </c>
      <c r="JB11">
        <v>13</v>
      </c>
      <c r="JC11">
        <v>215</v>
      </c>
      <c r="JD11">
        <v>6978</v>
      </c>
      <c r="JE11">
        <v>240</v>
      </c>
      <c r="JF11">
        <v>3</v>
      </c>
      <c r="JH11" s="28">
        <v>5115.9207184632824</v>
      </c>
      <c r="JI11" s="28">
        <v>281.53204620781821</v>
      </c>
      <c r="JJ11">
        <v>1085</v>
      </c>
      <c r="JK11">
        <v>5905</v>
      </c>
      <c r="JL11">
        <v>229</v>
      </c>
      <c r="JM11">
        <v>2</v>
      </c>
      <c r="JN11">
        <v>4821</v>
      </c>
      <c r="JO11">
        <v>3050</v>
      </c>
      <c r="JP11">
        <v>1405</v>
      </c>
      <c r="JQ11">
        <v>4140</v>
      </c>
      <c r="JR11">
        <v>5922</v>
      </c>
      <c r="JS11">
        <v>592</v>
      </c>
      <c r="JT11">
        <v>646</v>
      </c>
      <c r="JU11">
        <v>4902</v>
      </c>
      <c r="JV11">
        <v>1363</v>
      </c>
      <c r="JW11" s="28"/>
      <c r="JX11" s="28"/>
      <c r="JY11" s="28"/>
      <c r="JZ11" s="28"/>
      <c r="KA11" s="28">
        <v>7072.0000085399997</v>
      </c>
      <c r="KB11">
        <v>29499</v>
      </c>
      <c r="KC11">
        <v>0</v>
      </c>
      <c r="KD11">
        <v>75</v>
      </c>
      <c r="KE11">
        <v>0</v>
      </c>
      <c r="KF11">
        <v>238</v>
      </c>
      <c r="KG11">
        <v>0</v>
      </c>
      <c r="KH11">
        <v>41</v>
      </c>
      <c r="KI11">
        <v>35</v>
      </c>
      <c r="KJ11">
        <v>4902</v>
      </c>
      <c r="KK11">
        <v>25856</v>
      </c>
      <c r="KL11">
        <v>873</v>
      </c>
      <c r="KM11">
        <v>5</v>
      </c>
      <c r="KT11">
        <v>4301</v>
      </c>
      <c r="KU11">
        <v>4318</v>
      </c>
      <c r="KV11">
        <v>3660</v>
      </c>
      <c r="KW11">
        <v>424</v>
      </c>
      <c r="KX11">
        <v>125</v>
      </c>
      <c r="KZ11">
        <v>3629</v>
      </c>
      <c r="LA11">
        <v>474</v>
      </c>
      <c r="LB11">
        <v>110</v>
      </c>
      <c r="LD11">
        <v>2545</v>
      </c>
      <c r="LE11">
        <v>2611</v>
      </c>
      <c r="LF11">
        <v>1520</v>
      </c>
      <c r="LG11">
        <v>2227</v>
      </c>
      <c r="LH11">
        <v>21285</v>
      </c>
      <c r="LI11">
        <v>14</v>
      </c>
      <c r="LJ11">
        <v>1702</v>
      </c>
      <c r="LK11">
        <v>463</v>
      </c>
      <c r="LL11">
        <v>2083</v>
      </c>
      <c r="LM11">
        <v>7</v>
      </c>
      <c r="LN11">
        <v>1256</v>
      </c>
      <c r="LO11">
        <v>464</v>
      </c>
      <c r="LP11">
        <v>12</v>
      </c>
      <c r="LQ11">
        <v>1711</v>
      </c>
      <c r="LR11">
        <v>403</v>
      </c>
      <c r="LS11">
        <v>2186</v>
      </c>
      <c r="LT11">
        <v>2</v>
      </c>
      <c r="LU11">
        <v>1215</v>
      </c>
      <c r="LV11">
        <v>388</v>
      </c>
      <c r="LW11" s="44"/>
      <c r="LX11" s="44"/>
      <c r="LY11" s="44"/>
      <c r="LZ11">
        <v>7221</v>
      </c>
      <c r="MA11">
        <v>31636</v>
      </c>
      <c r="MB11">
        <v>28162</v>
      </c>
      <c r="MC11">
        <v>803</v>
      </c>
      <c r="MD11" s="26">
        <v>17.603946000000001</v>
      </c>
      <c r="ME11" s="26">
        <v>11.30031</v>
      </c>
      <c r="MF11" s="26">
        <v>56.011275999999995</v>
      </c>
      <c r="MG11" s="26">
        <v>27.041663</v>
      </c>
      <c r="MH11" s="26">
        <v>15.02562</v>
      </c>
      <c r="MI11" s="26">
        <v>3.4621239999999998</v>
      </c>
      <c r="MJ11" s="26">
        <v>2.381942</v>
      </c>
      <c r="MK11" s="26">
        <v>3.323639</v>
      </c>
      <c r="ML11" s="26">
        <v>2.0634259999999998</v>
      </c>
      <c r="MM11" s="26">
        <v>57.762082999999997</v>
      </c>
      <c r="MN11" s="26">
        <v>33.236393999999997</v>
      </c>
      <c r="MO11" s="26">
        <v>0.51761299999999999</v>
      </c>
      <c r="MP11" t="s">
        <v>1029</v>
      </c>
      <c r="MQ11">
        <v>600</v>
      </c>
      <c r="MR11">
        <v>61</v>
      </c>
    </row>
    <row r="12" spans="1:356">
      <c r="A12" t="s">
        <v>55</v>
      </c>
      <c r="B12" t="s">
        <v>56</v>
      </c>
      <c r="C12">
        <v>37989</v>
      </c>
      <c r="D12">
        <v>40042</v>
      </c>
      <c r="E12">
        <v>41135</v>
      </c>
      <c r="F12">
        <f t="shared" si="0"/>
        <v>1093</v>
      </c>
      <c r="G12" s="26">
        <f t="shared" si="1"/>
        <v>2.7296338844213608</v>
      </c>
      <c r="H12">
        <v>19954</v>
      </c>
      <c r="I12">
        <v>21181</v>
      </c>
      <c r="J12">
        <v>28908</v>
      </c>
      <c r="K12">
        <v>12227</v>
      </c>
      <c r="L12">
        <v>1642</v>
      </c>
      <c r="M12">
        <v>1826</v>
      </c>
      <c r="N12">
        <v>1929</v>
      </c>
      <c r="O12">
        <v>1766</v>
      </c>
      <c r="P12">
        <v>1412</v>
      </c>
      <c r="Q12">
        <v>1296</v>
      </c>
      <c r="R12">
        <v>1169</v>
      </c>
      <c r="S12">
        <v>1280</v>
      </c>
      <c r="T12">
        <v>1285</v>
      </c>
      <c r="U12">
        <v>1266</v>
      </c>
      <c r="V12">
        <v>1107</v>
      </c>
      <c r="W12">
        <v>1028</v>
      </c>
      <c r="X12">
        <v>812</v>
      </c>
      <c r="Y12">
        <v>2136</v>
      </c>
      <c r="Z12">
        <v>0</v>
      </c>
      <c r="AA12">
        <v>1529</v>
      </c>
      <c r="AB12">
        <v>1789</v>
      </c>
      <c r="AC12">
        <v>1847</v>
      </c>
      <c r="AD12">
        <v>1759</v>
      </c>
      <c r="AE12">
        <v>1518</v>
      </c>
      <c r="AF12">
        <v>1503</v>
      </c>
      <c r="AG12">
        <v>1451</v>
      </c>
      <c r="AH12">
        <v>1524</v>
      </c>
      <c r="AI12">
        <v>1484</v>
      </c>
      <c r="AJ12">
        <v>1344</v>
      </c>
      <c r="AK12">
        <v>1241</v>
      </c>
      <c r="AL12">
        <v>1072</v>
      </c>
      <c r="AM12">
        <v>916</v>
      </c>
      <c r="AN12">
        <v>2204</v>
      </c>
      <c r="AO12">
        <v>0</v>
      </c>
      <c r="AP12">
        <v>38260</v>
      </c>
      <c r="AQ12">
        <v>2735</v>
      </c>
      <c r="AR12">
        <v>70</v>
      </c>
      <c r="AS12">
        <v>60</v>
      </c>
      <c r="AT12">
        <v>10</v>
      </c>
      <c r="AU12">
        <v>193</v>
      </c>
      <c r="AV12">
        <v>101</v>
      </c>
      <c r="AW12">
        <v>92</v>
      </c>
      <c r="AX12">
        <v>464</v>
      </c>
      <c r="AY12">
        <v>247</v>
      </c>
      <c r="AZ12">
        <v>55</v>
      </c>
      <c r="BA12">
        <v>192</v>
      </c>
      <c r="BB12">
        <v>0</v>
      </c>
      <c r="BC12">
        <v>0</v>
      </c>
      <c r="BD12">
        <v>0</v>
      </c>
      <c r="BE12">
        <v>0</v>
      </c>
      <c r="BF12">
        <v>0</v>
      </c>
      <c r="BG12">
        <v>0</v>
      </c>
      <c r="BH12">
        <v>4</v>
      </c>
      <c r="BI12">
        <v>4</v>
      </c>
      <c r="BJ12">
        <v>2</v>
      </c>
      <c r="BK12">
        <v>4</v>
      </c>
      <c r="BL12">
        <v>2</v>
      </c>
      <c r="BM12">
        <v>4</v>
      </c>
      <c r="BN12">
        <v>9</v>
      </c>
      <c r="BO12">
        <v>6</v>
      </c>
      <c r="BP12">
        <v>8</v>
      </c>
      <c r="BQ12">
        <v>7</v>
      </c>
      <c r="BR12">
        <v>9</v>
      </c>
      <c r="BS12">
        <v>3</v>
      </c>
      <c r="BT12">
        <v>12</v>
      </c>
      <c r="BU12">
        <v>10</v>
      </c>
      <c r="BV12">
        <v>5</v>
      </c>
      <c r="BW12">
        <v>7</v>
      </c>
      <c r="BX12">
        <v>13</v>
      </c>
      <c r="BY12">
        <v>11</v>
      </c>
      <c r="BZ12">
        <v>6</v>
      </c>
      <c r="CA12">
        <v>5</v>
      </c>
      <c r="CB12">
        <v>31</v>
      </c>
      <c r="CC12">
        <v>31</v>
      </c>
      <c r="CD12">
        <v>101</v>
      </c>
      <c r="CE12">
        <v>92</v>
      </c>
      <c r="CF12">
        <v>0</v>
      </c>
      <c r="CG12">
        <v>0</v>
      </c>
      <c r="CH12">
        <v>8507</v>
      </c>
      <c r="CI12">
        <v>3851</v>
      </c>
      <c r="CJ12">
        <v>29409</v>
      </c>
      <c r="CK12">
        <v>11663</v>
      </c>
      <c r="CL12">
        <v>1733</v>
      </c>
      <c r="CM12">
        <v>2687</v>
      </c>
      <c r="CN12">
        <v>2619</v>
      </c>
      <c r="CO12">
        <v>2607</v>
      </c>
      <c r="CP12">
        <v>1525</v>
      </c>
      <c r="CQ12">
        <v>1187</v>
      </c>
      <c r="CR12">
        <v>7784</v>
      </c>
      <c r="CS12">
        <v>14760</v>
      </c>
      <c r="CT12">
        <v>3383</v>
      </c>
      <c r="CU12">
        <v>849</v>
      </c>
      <c r="CV12">
        <v>449</v>
      </c>
      <c r="CW12">
        <v>1329</v>
      </c>
      <c r="CX12">
        <v>160</v>
      </c>
      <c r="CY12">
        <v>7410</v>
      </c>
      <c r="CZ12">
        <v>3109</v>
      </c>
      <c r="DA12">
        <v>82</v>
      </c>
      <c r="DB12">
        <v>1733</v>
      </c>
      <c r="DC12">
        <v>24</v>
      </c>
      <c r="DD12">
        <v>1648</v>
      </c>
      <c r="DE12">
        <v>1345</v>
      </c>
      <c r="DF12">
        <v>604</v>
      </c>
      <c r="DG12">
        <v>8630</v>
      </c>
      <c r="DH12">
        <v>3542</v>
      </c>
      <c r="DI12">
        <v>0</v>
      </c>
      <c r="DJ12">
        <v>25366</v>
      </c>
      <c r="DK12">
        <v>0</v>
      </c>
      <c r="DL12">
        <v>0</v>
      </c>
      <c r="DM12">
        <v>230</v>
      </c>
      <c r="DN12">
        <v>8</v>
      </c>
      <c r="DO12">
        <v>2</v>
      </c>
      <c r="DP12">
        <v>8</v>
      </c>
      <c r="DQ12">
        <v>1</v>
      </c>
      <c r="DR12">
        <v>0</v>
      </c>
      <c r="DS12">
        <v>1</v>
      </c>
      <c r="DT12">
        <v>0</v>
      </c>
      <c r="DU12">
        <v>0</v>
      </c>
      <c r="DV12">
        <v>1395</v>
      </c>
      <c r="DW12">
        <v>1736</v>
      </c>
      <c r="DX12">
        <v>1823</v>
      </c>
      <c r="DY12">
        <v>2213</v>
      </c>
      <c r="DZ12">
        <v>721</v>
      </c>
      <c r="EA12">
        <v>643</v>
      </c>
      <c r="EB12">
        <v>445</v>
      </c>
      <c r="EC12">
        <v>391</v>
      </c>
      <c r="ED12">
        <v>332</v>
      </c>
      <c r="EE12">
        <v>427</v>
      </c>
      <c r="EF12">
        <v>582</v>
      </c>
      <c r="EG12">
        <v>700</v>
      </c>
      <c r="EH12">
        <v>264</v>
      </c>
      <c r="EI12">
        <v>202</v>
      </c>
      <c r="EJ12">
        <v>2009</v>
      </c>
      <c r="EK12">
        <v>2637</v>
      </c>
      <c r="EL12">
        <v>897</v>
      </c>
      <c r="EM12">
        <v>525</v>
      </c>
      <c r="EN12">
        <v>499</v>
      </c>
      <c r="EO12">
        <v>832</v>
      </c>
      <c r="EP12">
        <v>272</v>
      </c>
      <c r="EQ12">
        <v>12314</v>
      </c>
      <c r="ER12">
        <v>12105</v>
      </c>
      <c r="ES12">
        <v>209</v>
      </c>
      <c r="ET12">
        <v>3337</v>
      </c>
      <c r="EU12">
        <v>8664</v>
      </c>
      <c r="EV12">
        <v>8569</v>
      </c>
      <c r="EW12">
        <v>95</v>
      </c>
      <c r="EX12">
        <v>8431</v>
      </c>
      <c r="EY12" s="26">
        <v>18.602378999999999</v>
      </c>
      <c r="EZ12" s="26">
        <v>16.930062</v>
      </c>
      <c r="FA12" s="26">
        <v>24.314695</v>
      </c>
      <c r="FB12" s="26">
        <v>39.239123999999997</v>
      </c>
      <c r="FC12" s="26">
        <v>0.91374100000000003</v>
      </c>
      <c r="FD12">
        <v>1357</v>
      </c>
      <c r="FE12">
        <v>6035</v>
      </c>
      <c r="FF12">
        <v>947</v>
      </c>
      <c r="FG12">
        <v>4246</v>
      </c>
      <c r="FH12">
        <v>50</v>
      </c>
      <c r="FI12">
        <v>4662</v>
      </c>
      <c r="FJ12">
        <v>3651</v>
      </c>
      <c r="FK12" s="26" t="s">
        <v>359</v>
      </c>
      <c r="FL12" s="26" t="s">
        <v>359</v>
      </c>
      <c r="FM12" s="26" t="s">
        <v>359</v>
      </c>
      <c r="FN12" s="26" t="s">
        <v>359</v>
      </c>
      <c r="FO12" s="28">
        <v>11463</v>
      </c>
      <c r="FP12" s="28">
        <v>8480</v>
      </c>
      <c r="FQ12">
        <v>3870</v>
      </c>
      <c r="FR12">
        <v>779</v>
      </c>
      <c r="FS12">
        <v>272</v>
      </c>
      <c r="FT12">
        <v>74</v>
      </c>
      <c r="FU12">
        <v>6370</v>
      </c>
      <c r="FV12">
        <v>93</v>
      </c>
      <c r="FW12">
        <v>49</v>
      </c>
      <c r="FX12">
        <v>11</v>
      </c>
      <c r="FY12">
        <v>13100</v>
      </c>
      <c r="FZ12">
        <v>8074</v>
      </c>
      <c r="GA12">
        <v>4092</v>
      </c>
      <c r="GB12">
        <v>1047</v>
      </c>
      <c r="GC12">
        <v>340</v>
      </c>
      <c r="GD12">
        <v>89</v>
      </c>
      <c r="GE12">
        <v>7430</v>
      </c>
      <c r="GF12">
        <v>102</v>
      </c>
      <c r="GG12">
        <v>46</v>
      </c>
      <c r="GH12">
        <v>7</v>
      </c>
      <c r="GI12">
        <v>903</v>
      </c>
      <c r="GJ12">
        <v>1121</v>
      </c>
      <c r="GK12">
        <v>1171</v>
      </c>
      <c r="GL12">
        <v>1114</v>
      </c>
      <c r="GM12">
        <v>714</v>
      </c>
      <c r="GN12">
        <v>645</v>
      </c>
      <c r="GO12">
        <v>662</v>
      </c>
      <c r="GP12">
        <v>701</v>
      </c>
      <c r="GQ12">
        <v>688</v>
      </c>
      <c r="GR12">
        <v>693</v>
      </c>
      <c r="GS12">
        <v>585</v>
      </c>
      <c r="GT12">
        <v>591</v>
      </c>
      <c r="GU12">
        <v>507</v>
      </c>
      <c r="GV12">
        <v>467</v>
      </c>
      <c r="GW12">
        <v>349</v>
      </c>
      <c r="GX12">
        <v>274</v>
      </c>
      <c r="GY12">
        <v>147</v>
      </c>
      <c r="GZ12">
        <v>131</v>
      </c>
      <c r="HA12">
        <v>852</v>
      </c>
      <c r="HB12">
        <v>1091</v>
      </c>
      <c r="HC12">
        <v>1090</v>
      </c>
      <c r="HD12">
        <v>1151</v>
      </c>
      <c r="HE12">
        <v>867</v>
      </c>
      <c r="HF12">
        <v>914</v>
      </c>
      <c r="HG12">
        <v>855</v>
      </c>
      <c r="HH12">
        <v>956</v>
      </c>
      <c r="HI12">
        <v>939</v>
      </c>
      <c r="HJ12">
        <v>807</v>
      </c>
      <c r="HK12">
        <v>765</v>
      </c>
      <c r="HL12">
        <v>699</v>
      </c>
      <c r="HM12">
        <v>630</v>
      </c>
      <c r="HN12">
        <v>503</v>
      </c>
      <c r="HO12">
        <v>377</v>
      </c>
      <c r="HP12">
        <v>282</v>
      </c>
      <c r="HQ12">
        <v>173</v>
      </c>
      <c r="HR12">
        <v>149</v>
      </c>
      <c r="HS12">
        <v>9415</v>
      </c>
      <c r="HT12">
        <v>0</v>
      </c>
      <c r="HU12">
        <v>59</v>
      </c>
      <c r="HV12">
        <v>0</v>
      </c>
      <c r="HW12">
        <v>10</v>
      </c>
      <c r="HX12">
        <v>0</v>
      </c>
      <c r="HY12">
        <v>14</v>
      </c>
      <c r="HZ12">
        <v>3</v>
      </c>
      <c r="IA12">
        <v>1723</v>
      </c>
      <c r="IB12">
        <v>2682</v>
      </c>
      <c r="IC12">
        <v>2613</v>
      </c>
      <c r="ID12">
        <v>2605</v>
      </c>
      <c r="IE12">
        <v>1524</v>
      </c>
      <c r="IF12">
        <v>684</v>
      </c>
      <c r="IG12">
        <v>274</v>
      </c>
      <c r="IH12">
        <v>120</v>
      </c>
      <c r="II12">
        <v>109</v>
      </c>
      <c r="IJ12">
        <v>1486</v>
      </c>
      <c r="IK12">
        <v>3139</v>
      </c>
      <c r="IL12">
        <v>3919</v>
      </c>
      <c r="IM12">
        <v>2474</v>
      </c>
      <c r="IN12">
        <v>921</v>
      </c>
      <c r="IO12">
        <v>257</v>
      </c>
      <c r="IP12">
        <v>86</v>
      </c>
      <c r="IQ12">
        <v>41</v>
      </c>
      <c r="IR12">
        <v>11</v>
      </c>
      <c r="IS12">
        <v>5536</v>
      </c>
      <c r="IT12">
        <v>5216</v>
      </c>
      <c r="IU12">
        <v>1336</v>
      </c>
      <c r="IV12">
        <v>208</v>
      </c>
      <c r="IW12">
        <v>38</v>
      </c>
      <c r="IX12">
        <v>5304</v>
      </c>
      <c r="IY12">
        <v>1164</v>
      </c>
      <c r="IZ12">
        <v>21</v>
      </c>
      <c r="JA12">
        <v>313</v>
      </c>
      <c r="JB12">
        <v>67</v>
      </c>
      <c r="JC12">
        <v>88</v>
      </c>
      <c r="JD12">
        <v>12034</v>
      </c>
      <c r="JE12">
        <v>298</v>
      </c>
      <c r="JF12">
        <v>2</v>
      </c>
      <c r="JH12" s="28">
        <v>10648.471249861068</v>
      </c>
      <c r="JI12" s="28">
        <v>602.5520448686882</v>
      </c>
      <c r="JJ12">
        <v>371</v>
      </c>
      <c r="JK12">
        <v>10367</v>
      </c>
      <c r="JL12">
        <v>1596</v>
      </c>
      <c r="JM12">
        <v>0</v>
      </c>
      <c r="JN12">
        <v>10521</v>
      </c>
      <c r="JO12">
        <v>7653</v>
      </c>
      <c r="JP12">
        <v>2806</v>
      </c>
      <c r="JQ12">
        <v>7282</v>
      </c>
      <c r="JR12">
        <v>10887</v>
      </c>
      <c r="JS12">
        <v>1805</v>
      </c>
      <c r="JT12">
        <v>1751</v>
      </c>
      <c r="JU12">
        <v>10299</v>
      </c>
      <c r="JV12">
        <v>3596</v>
      </c>
      <c r="JW12" s="28"/>
      <c r="JX12" s="28"/>
      <c r="JY12" s="28"/>
      <c r="JZ12" s="28"/>
      <c r="KA12" s="28">
        <v>12183.000018279999</v>
      </c>
      <c r="KB12">
        <v>31698</v>
      </c>
      <c r="KC12">
        <v>0</v>
      </c>
      <c r="KD12">
        <v>174</v>
      </c>
      <c r="KE12">
        <v>0</v>
      </c>
      <c r="KF12">
        <v>24</v>
      </c>
      <c r="KG12">
        <v>0</v>
      </c>
      <c r="KH12">
        <v>27</v>
      </c>
      <c r="KI12">
        <v>10</v>
      </c>
      <c r="KJ12">
        <v>1305</v>
      </c>
      <c r="KK12">
        <v>34369</v>
      </c>
      <c r="KL12">
        <v>5347</v>
      </c>
      <c r="KM12">
        <v>0</v>
      </c>
      <c r="KT12">
        <v>5411</v>
      </c>
      <c r="KU12">
        <v>5429</v>
      </c>
      <c r="KV12">
        <v>4182</v>
      </c>
      <c r="KW12">
        <v>762</v>
      </c>
      <c r="KX12">
        <v>346</v>
      </c>
      <c r="KZ12">
        <v>4090</v>
      </c>
      <c r="LA12">
        <v>794</v>
      </c>
      <c r="LB12">
        <v>395</v>
      </c>
      <c r="LD12">
        <v>2942</v>
      </c>
      <c r="LE12">
        <v>2897</v>
      </c>
      <c r="LF12">
        <v>1108</v>
      </c>
      <c r="LG12">
        <v>1452</v>
      </c>
      <c r="LH12">
        <v>30573</v>
      </c>
      <c r="LI12">
        <v>57</v>
      </c>
      <c r="LJ12">
        <v>2045</v>
      </c>
      <c r="LK12">
        <v>605</v>
      </c>
      <c r="LL12">
        <v>2717</v>
      </c>
      <c r="LM12">
        <v>29</v>
      </c>
      <c r="LN12">
        <v>2502</v>
      </c>
      <c r="LO12">
        <v>1484</v>
      </c>
      <c r="LP12">
        <v>51</v>
      </c>
      <c r="LQ12">
        <v>2396</v>
      </c>
      <c r="LR12">
        <v>563</v>
      </c>
      <c r="LS12">
        <v>3338</v>
      </c>
      <c r="LT12">
        <v>58</v>
      </c>
      <c r="LU12">
        <v>2413</v>
      </c>
      <c r="LV12">
        <v>1434</v>
      </c>
      <c r="LW12" s="44"/>
      <c r="LX12" s="44"/>
      <c r="LY12" s="44"/>
      <c r="LZ12">
        <v>12334</v>
      </c>
      <c r="MA12">
        <v>41021</v>
      </c>
      <c r="MB12">
        <v>40114</v>
      </c>
      <c r="MC12">
        <v>140</v>
      </c>
      <c r="MD12" s="26">
        <v>8.3734009999999994</v>
      </c>
      <c r="ME12" s="26">
        <v>6.4583639999999995</v>
      </c>
      <c r="MF12" s="26">
        <v>41.863735999999996</v>
      </c>
      <c r="MG12" s="26">
        <v>40.243102</v>
      </c>
      <c r="MH12" s="26">
        <v>3.007946</v>
      </c>
      <c r="MI12" s="26">
        <v>2.4566239999999997</v>
      </c>
      <c r="MJ12" s="26">
        <v>13.01281</v>
      </c>
      <c r="MK12" s="26">
        <v>2.416086</v>
      </c>
      <c r="ML12" s="26">
        <v>1.2242579999999998</v>
      </c>
      <c r="MM12" s="26">
        <v>37.952002999999998</v>
      </c>
      <c r="MN12" s="26">
        <v>14.699204999999999</v>
      </c>
      <c r="MO12" s="26">
        <v>-0.42984699999999998</v>
      </c>
      <c r="MP12" t="s">
        <v>1027</v>
      </c>
      <c r="MQ12">
        <v>1455</v>
      </c>
      <c r="MR12">
        <v>120</v>
      </c>
    </row>
    <row r="13" spans="1:356">
      <c r="A13" t="s">
        <v>57</v>
      </c>
      <c r="B13" t="s">
        <v>58</v>
      </c>
      <c r="C13">
        <v>6673</v>
      </c>
      <c r="D13">
        <v>7623</v>
      </c>
      <c r="E13">
        <v>7365</v>
      </c>
      <c r="F13">
        <f t="shared" si="0"/>
        <v>-258</v>
      </c>
      <c r="G13" s="26">
        <f t="shared" si="1"/>
        <v>-3.384494293585206</v>
      </c>
      <c r="H13">
        <v>3652</v>
      </c>
      <c r="I13">
        <v>3713</v>
      </c>
      <c r="J13">
        <v>0</v>
      </c>
      <c r="K13">
        <v>7365</v>
      </c>
      <c r="L13">
        <v>394</v>
      </c>
      <c r="M13">
        <v>445</v>
      </c>
      <c r="N13">
        <v>482</v>
      </c>
      <c r="O13">
        <v>377</v>
      </c>
      <c r="P13">
        <v>268</v>
      </c>
      <c r="Q13">
        <v>266</v>
      </c>
      <c r="R13">
        <v>248</v>
      </c>
      <c r="S13">
        <v>226</v>
      </c>
      <c r="T13">
        <v>194</v>
      </c>
      <c r="U13">
        <v>138</v>
      </c>
      <c r="V13">
        <v>144</v>
      </c>
      <c r="W13">
        <v>108</v>
      </c>
      <c r="X13">
        <v>103</v>
      </c>
      <c r="Y13">
        <v>259</v>
      </c>
      <c r="Z13">
        <v>0</v>
      </c>
      <c r="AA13">
        <v>381</v>
      </c>
      <c r="AB13">
        <v>426</v>
      </c>
      <c r="AC13">
        <v>454</v>
      </c>
      <c r="AD13">
        <v>354</v>
      </c>
      <c r="AE13">
        <v>284</v>
      </c>
      <c r="AF13">
        <v>310</v>
      </c>
      <c r="AG13">
        <v>234</v>
      </c>
      <c r="AH13">
        <v>242</v>
      </c>
      <c r="AI13">
        <v>204</v>
      </c>
      <c r="AJ13">
        <v>167</v>
      </c>
      <c r="AK13">
        <v>137</v>
      </c>
      <c r="AL13">
        <v>141</v>
      </c>
      <c r="AM13">
        <v>91</v>
      </c>
      <c r="AN13">
        <v>288</v>
      </c>
      <c r="AO13">
        <v>0</v>
      </c>
      <c r="AP13">
        <v>7299</v>
      </c>
      <c r="AQ13">
        <v>51</v>
      </c>
      <c r="AR13">
        <v>8</v>
      </c>
      <c r="AS13">
        <v>5</v>
      </c>
      <c r="AT13">
        <v>2</v>
      </c>
      <c r="AU13">
        <v>18</v>
      </c>
      <c r="AV13">
        <v>10</v>
      </c>
      <c r="AW13">
        <v>8</v>
      </c>
      <c r="AX13">
        <v>56</v>
      </c>
      <c r="AY13">
        <v>85</v>
      </c>
      <c r="AZ13">
        <v>85</v>
      </c>
      <c r="BA13">
        <v>0</v>
      </c>
      <c r="BB13">
        <v>0</v>
      </c>
      <c r="BC13">
        <v>0</v>
      </c>
      <c r="BD13">
        <v>0</v>
      </c>
      <c r="BE13">
        <v>0</v>
      </c>
      <c r="BF13">
        <v>1</v>
      </c>
      <c r="BG13">
        <v>0</v>
      </c>
      <c r="BH13">
        <v>0</v>
      </c>
      <c r="BI13">
        <v>0</v>
      </c>
      <c r="BJ13">
        <v>0</v>
      </c>
      <c r="BK13">
        <v>0</v>
      </c>
      <c r="BL13">
        <v>1</v>
      </c>
      <c r="BM13">
        <v>0</v>
      </c>
      <c r="BN13">
        <v>0</v>
      </c>
      <c r="BO13">
        <v>0</v>
      </c>
      <c r="BP13">
        <v>0</v>
      </c>
      <c r="BQ13">
        <v>1</v>
      </c>
      <c r="BR13">
        <v>0</v>
      </c>
      <c r="BS13">
        <v>0</v>
      </c>
      <c r="BT13">
        <v>0</v>
      </c>
      <c r="BU13">
        <v>0</v>
      </c>
      <c r="BV13">
        <v>0</v>
      </c>
      <c r="BW13">
        <v>0</v>
      </c>
      <c r="BX13">
        <v>0</v>
      </c>
      <c r="BY13">
        <v>1</v>
      </c>
      <c r="BZ13">
        <v>2</v>
      </c>
      <c r="CA13">
        <v>0</v>
      </c>
      <c r="CB13">
        <v>6</v>
      </c>
      <c r="CC13">
        <v>6</v>
      </c>
      <c r="CD13">
        <v>10</v>
      </c>
      <c r="CE13">
        <v>7</v>
      </c>
      <c r="CF13">
        <v>0</v>
      </c>
      <c r="CG13">
        <v>1</v>
      </c>
      <c r="CH13">
        <v>1233</v>
      </c>
      <c r="CI13">
        <v>334</v>
      </c>
      <c r="CJ13">
        <v>6015</v>
      </c>
      <c r="CK13">
        <v>1350</v>
      </c>
      <c r="CL13">
        <v>75</v>
      </c>
      <c r="CM13">
        <v>160</v>
      </c>
      <c r="CN13">
        <v>231</v>
      </c>
      <c r="CO13">
        <v>329</v>
      </c>
      <c r="CP13">
        <v>278</v>
      </c>
      <c r="CQ13">
        <v>494</v>
      </c>
      <c r="CR13">
        <v>1202</v>
      </c>
      <c r="CS13">
        <v>3500</v>
      </c>
      <c r="CT13">
        <v>654</v>
      </c>
      <c r="CU13">
        <v>221</v>
      </c>
      <c r="CV13">
        <v>81</v>
      </c>
      <c r="CW13">
        <v>137</v>
      </c>
      <c r="CX13">
        <v>3</v>
      </c>
      <c r="CY13">
        <v>1000</v>
      </c>
      <c r="CZ13">
        <v>489</v>
      </c>
      <c r="DA13">
        <v>3</v>
      </c>
      <c r="DB13">
        <v>75</v>
      </c>
      <c r="DC13">
        <v>0</v>
      </c>
      <c r="DD13">
        <v>743</v>
      </c>
      <c r="DE13">
        <v>1487</v>
      </c>
      <c r="DF13">
        <v>3588</v>
      </c>
      <c r="DG13">
        <v>1547</v>
      </c>
      <c r="DH13">
        <v>0</v>
      </c>
      <c r="DI13">
        <v>0</v>
      </c>
      <c r="DJ13">
        <v>0</v>
      </c>
      <c r="DK13">
        <v>0</v>
      </c>
      <c r="DL13">
        <v>0</v>
      </c>
      <c r="DM13">
        <v>16</v>
      </c>
      <c r="DN13">
        <v>9</v>
      </c>
      <c r="DO13">
        <v>10</v>
      </c>
      <c r="DP13">
        <v>2</v>
      </c>
      <c r="DQ13">
        <v>0</v>
      </c>
      <c r="DR13">
        <v>0</v>
      </c>
      <c r="DS13">
        <v>0</v>
      </c>
      <c r="DT13">
        <v>0</v>
      </c>
      <c r="DU13">
        <v>0</v>
      </c>
      <c r="DV13">
        <v>188</v>
      </c>
      <c r="DW13">
        <v>249</v>
      </c>
      <c r="DX13">
        <v>218</v>
      </c>
      <c r="DY13">
        <v>284</v>
      </c>
      <c r="DZ13">
        <v>132</v>
      </c>
      <c r="EA13">
        <v>147</v>
      </c>
      <c r="EB13">
        <v>87</v>
      </c>
      <c r="EC13">
        <v>78</v>
      </c>
      <c r="ED13">
        <v>87</v>
      </c>
      <c r="EE13">
        <v>77</v>
      </c>
      <c r="EF13">
        <v>127</v>
      </c>
      <c r="EG13">
        <v>161</v>
      </c>
      <c r="EH13">
        <v>29</v>
      </c>
      <c r="EI13">
        <v>40</v>
      </c>
      <c r="EJ13">
        <v>384</v>
      </c>
      <c r="EK13">
        <v>422</v>
      </c>
      <c r="EL13">
        <v>234</v>
      </c>
      <c r="EM13">
        <v>147</v>
      </c>
      <c r="EN13">
        <v>148</v>
      </c>
      <c r="EO13">
        <v>265</v>
      </c>
      <c r="EP13">
        <v>55</v>
      </c>
      <c r="EQ13">
        <v>1886</v>
      </c>
      <c r="ER13">
        <v>1878</v>
      </c>
      <c r="ES13">
        <v>8</v>
      </c>
      <c r="ET13">
        <v>730</v>
      </c>
      <c r="EU13">
        <v>1011</v>
      </c>
      <c r="EV13">
        <v>1011</v>
      </c>
      <c r="EW13">
        <v>0</v>
      </c>
      <c r="EX13">
        <v>1686</v>
      </c>
      <c r="EY13" s="26">
        <v>77.227722999999997</v>
      </c>
      <c r="EZ13" s="26">
        <v>7.0349149999999998</v>
      </c>
      <c r="FA13" s="26">
        <v>6.722251</v>
      </c>
      <c r="FB13" s="26">
        <v>8.8066700000000004</v>
      </c>
      <c r="FC13" s="26">
        <v>0.20844199999999999</v>
      </c>
      <c r="FD13">
        <v>141</v>
      </c>
      <c r="FE13">
        <v>1576</v>
      </c>
      <c r="FF13">
        <v>125</v>
      </c>
      <c r="FG13">
        <v>651</v>
      </c>
      <c r="FH13">
        <v>0</v>
      </c>
      <c r="FI13">
        <v>343</v>
      </c>
      <c r="FJ13">
        <v>60</v>
      </c>
      <c r="FK13" s="26" t="s">
        <v>359</v>
      </c>
      <c r="FL13" s="26" t="s">
        <v>359</v>
      </c>
      <c r="FM13" s="26" t="s">
        <v>359</v>
      </c>
      <c r="FN13" s="26" t="s">
        <v>359</v>
      </c>
      <c r="FO13" s="28">
        <v>2858</v>
      </c>
      <c r="FP13" s="28">
        <v>794</v>
      </c>
      <c r="FQ13">
        <v>195</v>
      </c>
      <c r="FR13">
        <v>14</v>
      </c>
      <c r="FS13">
        <v>9</v>
      </c>
      <c r="FT13">
        <v>1</v>
      </c>
      <c r="FU13">
        <v>2638</v>
      </c>
      <c r="FV13">
        <v>0</v>
      </c>
      <c r="FW13">
        <v>3</v>
      </c>
      <c r="FX13">
        <v>0</v>
      </c>
      <c r="FY13">
        <v>2983</v>
      </c>
      <c r="FZ13">
        <v>730</v>
      </c>
      <c r="GA13">
        <v>207</v>
      </c>
      <c r="GB13">
        <v>17</v>
      </c>
      <c r="GC13">
        <v>7</v>
      </c>
      <c r="GD13">
        <v>2</v>
      </c>
      <c r="GE13">
        <v>2751</v>
      </c>
      <c r="GF13">
        <v>0</v>
      </c>
      <c r="GG13">
        <v>3</v>
      </c>
      <c r="GH13">
        <v>0</v>
      </c>
      <c r="GI13">
        <v>285</v>
      </c>
      <c r="GJ13">
        <v>382</v>
      </c>
      <c r="GK13">
        <v>405</v>
      </c>
      <c r="GL13">
        <v>306</v>
      </c>
      <c r="GM13">
        <v>202</v>
      </c>
      <c r="GN13">
        <v>201</v>
      </c>
      <c r="GO13">
        <v>192</v>
      </c>
      <c r="GP13">
        <v>178</v>
      </c>
      <c r="GQ13">
        <v>151</v>
      </c>
      <c r="GR13">
        <v>101</v>
      </c>
      <c r="GS13">
        <v>107</v>
      </c>
      <c r="GT13">
        <v>72</v>
      </c>
      <c r="GU13">
        <v>82</v>
      </c>
      <c r="GV13">
        <v>49</v>
      </c>
      <c r="GW13">
        <v>53</v>
      </c>
      <c r="GX13">
        <v>45</v>
      </c>
      <c r="GY13">
        <v>17</v>
      </c>
      <c r="GZ13">
        <v>30</v>
      </c>
      <c r="HA13">
        <v>275</v>
      </c>
      <c r="HB13">
        <v>364</v>
      </c>
      <c r="HC13">
        <v>367</v>
      </c>
      <c r="HD13">
        <v>271</v>
      </c>
      <c r="HE13">
        <v>224</v>
      </c>
      <c r="HF13">
        <v>252</v>
      </c>
      <c r="HG13">
        <v>197</v>
      </c>
      <c r="HH13">
        <v>205</v>
      </c>
      <c r="HI13">
        <v>164</v>
      </c>
      <c r="HJ13">
        <v>139</v>
      </c>
      <c r="HK13">
        <v>109</v>
      </c>
      <c r="HL13">
        <v>108</v>
      </c>
      <c r="HM13">
        <v>76</v>
      </c>
      <c r="HN13">
        <v>66</v>
      </c>
      <c r="HO13">
        <v>59</v>
      </c>
      <c r="HP13">
        <v>38</v>
      </c>
      <c r="HQ13">
        <v>30</v>
      </c>
      <c r="HR13">
        <v>39</v>
      </c>
      <c r="HS13">
        <v>1506</v>
      </c>
      <c r="HT13">
        <v>0</v>
      </c>
      <c r="HU13">
        <v>0</v>
      </c>
      <c r="HV13">
        <v>0</v>
      </c>
      <c r="HW13">
        <v>1</v>
      </c>
      <c r="HX13">
        <v>0</v>
      </c>
      <c r="HY13">
        <v>0</v>
      </c>
      <c r="HZ13">
        <v>0</v>
      </c>
      <c r="IA13">
        <v>75</v>
      </c>
      <c r="IB13">
        <v>160</v>
      </c>
      <c r="IC13">
        <v>231</v>
      </c>
      <c r="ID13">
        <v>328</v>
      </c>
      <c r="IE13">
        <v>278</v>
      </c>
      <c r="IF13">
        <v>216</v>
      </c>
      <c r="IG13">
        <v>121</v>
      </c>
      <c r="IH13">
        <v>81</v>
      </c>
      <c r="II13">
        <v>76</v>
      </c>
      <c r="IJ13">
        <v>43</v>
      </c>
      <c r="IK13">
        <v>297</v>
      </c>
      <c r="IL13">
        <v>528</v>
      </c>
      <c r="IM13">
        <v>373</v>
      </c>
      <c r="IN13">
        <v>219</v>
      </c>
      <c r="IO13">
        <v>70</v>
      </c>
      <c r="IP13">
        <v>20</v>
      </c>
      <c r="IQ13">
        <v>7</v>
      </c>
      <c r="IR13">
        <v>9</v>
      </c>
      <c r="IS13">
        <v>421</v>
      </c>
      <c r="IT13">
        <v>659</v>
      </c>
      <c r="IU13">
        <v>334</v>
      </c>
      <c r="IV13">
        <v>120</v>
      </c>
      <c r="IW13">
        <v>32</v>
      </c>
      <c r="IX13">
        <v>282</v>
      </c>
      <c r="IY13">
        <v>301</v>
      </c>
      <c r="IZ13">
        <v>4</v>
      </c>
      <c r="JA13">
        <v>10</v>
      </c>
      <c r="JB13">
        <v>2</v>
      </c>
      <c r="JC13">
        <v>104</v>
      </c>
      <c r="JD13">
        <v>1491</v>
      </c>
      <c r="JE13">
        <v>75</v>
      </c>
      <c r="JF13">
        <v>0</v>
      </c>
      <c r="JH13" s="28">
        <v>1304.5114295751277</v>
      </c>
      <c r="JI13" s="28">
        <v>13.711602306603925</v>
      </c>
      <c r="JJ13">
        <v>105</v>
      </c>
      <c r="JK13">
        <v>1399</v>
      </c>
      <c r="JL13">
        <v>62</v>
      </c>
      <c r="JM13">
        <v>0</v>
      </c>
      <c r="JN13">
        <v>894</v>
      </c>
      <c r="JO13">
        <v>585</v>
      </c>
      <c r="JP13">
        <v>256</v>
      </c>
      <c r="JQ13">
        <v>957</v>
      </c>
      <c r="JR13">
        <v>1160</v>
      </c>
      <c r="JS13">
        <v>66</v>
      </c>
      <c r="JT13">
        <v>56</v>
      </c>
      <c r="JU13">
        <v>1121</v>
      </c>
      <c r="JV13">
        <v>164</v>
      </c>
      <c r="JW13" s="28"/>
      <c r="JX13" s="28"/>
      <c r="JY13" s="28"/>
      <c r="JZ13" s="28"/>
      <c r="KA13" s="28">
        <v>1553.99999256</v>
      </c>
      <c r="KB13">
        <v>7099</v>
      </c>
      <c r="KC13">
        <v>0</v>
      </c>
      <c r="KD13">
        <v>0</v>
      </c>
      <c r="KE13">
        <v>0</v>
      </c>
      <c r="KF13">
        <v>4</v>
      </c>
      <c r="KG13">
        <v>0</v>
      </c>
      <c r="KH13">
        <v>0</v>
      </c>
      <c r="KI13">
        <v>0</v>
      </c>
      <c r="KJ13">
        <v>479</v>
      </c>
      <c r="KK13">
        <v>6602</v>
      </c>
      <c r="KL13">
        <v>280</v>
      </c>
      <c r="KM13">
        <v>0</v>
      </c>
      <c r="KT13">
        <v>1059</v>
      </c>
      <c r="KU13">
        <v>1008</v>
      </c>
      <c r="KV13">
        <v>969</v>
      </c>
      <c r="KW13">
        <v>69</v>
      </c>
      <c r="KX13">
        <v>9</v>
      </c>
      <c r="KZ13">
        <v>897</v>
      </c>
      <c r="LA13">
        <v>81</v>
      </c>
      <c r="LB13">
        <v>10</v>
      </c>
      <c r="LD13">
        <v>655</v>
      </c>
      <c r="LE13">
        <v>634</v>
      </c>
      <c r="LF13">
        <v>150</v>
      </c>
      <c r="LG13">
        <v>367</v>
      </c>
      <c r="LH13">
        <v>4783</v>
      </c>
      <c r="LI13">
        <v>7</v>
      </c>
      <c r="LJ13">
        <v>596</v>
      </c>
      <c r="LK13">
        <v>60</v>
      </c>
      <c r="LL13">
        <v>584</v>
      </c>
      <c r="LM13">
        <v>0</v>
      </c>
      <c r="LN13">
        <v>246</v>
      </c>
      <c r="LO13">
        <v>37</v>
      </c>
      <c r="LP13">
        <v>11</v>
      </c>
      <c r="LQ13">
        <v>613</v>
      </c>
      <c r="LR13">
        <v>44</v>
      </c>
      <c r="LS13">
        <v>586</v>
      </c>
      <c r="LT13">
        <v>0</v>
      </c>
      <c r="LU13">
        <v>243</v>
      </c>
      <c r="LV13">
        <v>23</v>
      </c>
      <c r="LW13" s="44"/>
      <c r="LX13" s="44"/>
      <c r="LY13" s="44"/>
      <c r="LZ13">
        <v>1566</v>
      </c>
      <c r="MA13">
        <v>7361</v>
      </c>
      <c r="MB13">
        <v>7494</v>
      </c>
      <c r="MC13">
        <v>31</v>
      </c>
      <c r="MD13" s="26">
        <v>10.809116</v>
      </c>
      <c r="ME13" s="26">
        <v>8.0098579999999995</v>
      </c>
      <c r="MF13" s="26">
        <v>60.025088999999994</v>
      </c>
      <c r="MG13" s="26">
        <v>20.692463999999998</v>
      </c>
      <c r="MH13" s="26">
        <v>6.7049810000000001</v>
      </c>
      <c r="MI13" s="26">
        <v>0.83013999999999999</v>
      </c>
      <c r="MJ13" s="26">
        <v>40.038314</v>
      </c>
      <c r="MK13" s="26">
        <v>4.7892719999999995</v>
      </c>
      <c r="ML13" s="26">
        <v>0.76628399999999997</v>
      </c>
      <c r="MM13" s="26">
        <v>62.643677999999994</v>
      </c>
      <c r="MN13" s="26">
        <v>42.911876999999997</v>
      </c>
      <c r="MO13" s="26">
        <v>0.68459499999999995</v>
      </c>
      <c r="MP13" t="s">
        <v>1029</v>
      </c>
      <c r="MQ13">
        <v>514</v>
      </c>
      <c r="MR13">
        <v>47</v>
      </c>
    </row>
    <row r="14" spans="1:356">
      <c r="A14" t="s">
        <v>59</v>
      </c>
      <c r="B14" t="s">
        <v>60</v>
      </c>
      <c r="C14">
        <v>18205</v>
      </c>
      <c r="D14">
        <v>19281</v>
      </c>
      <c r="E14">
        <v>20157</v>
      </c>
      <c r="F14">
        <f t="shared" si="0"/>
        <v>876</v>
      </c>
      <c r="G14" s="26">
        <f t="shared" si="1"/>
        <v>4.5433328146880427</v>
      </c>
      <c r="H14">
        <v>10002</v>
      </c>
      <c r="I14">
        <v>10155</v>
      </c>
      <c r="J14">
        <v>0</v>
      </c>
      <c r="K14">
        <v>20157</v>
      </c>
      <c r="L14">
        <v>1026</v>
      </c>
      <c r="M14">
        <v>1191</v>
      </c>
      <c r="N14">
        <v>1219</v>
      </c>
      <c r="O14">
        <v>985</v>
      </c>
      <c r="P14">
        <v>684</v>
      </c>
      <c r="Q14">
        <v>535</v>
      </c>
      <c r="R14">
        <v>565</v>
      </c>
      <c r="S14">
        <v>702</v>
      </c>
      <c r="T14">
        <v>655</v>
      </c>
      <c r="U14">
        <v>514</v>
      </c>
      <c r="V14">
        <v>427</v>
      </c>
      <c r="W14">
        <v>386</v>
      </c>
      <c r="X14">
        <v>312</v>
      </c>
      <c r="Y14">
        <v>801</v>
      </c>
      <c r="Z14">
        <v>0</v>
      </c>
      <c r="AA14">
        <v>986</v>
      </c>
      <c r="AB14">
        <v>1214</v>
      </c>
      <c r="AC14">
        <v>1150</v>
      </c>
      <c r="AD14">
        <v>928</v>
      </c>
      <c r="AE14">
        <v>716</v>
      </c>
      <c r="AF14">
        <v>703</v>
      </c>
      <c r="AG14">
        <v>696</v>
      </c>
      <c r="AH14">
        <v>707</v>
      </c>
      <c r="AI14">
        <v>639</v>
      </c>
      <c r="AJ14">
        <v>509</v>
      </c>
      <c r="AK14">
        <v>456</v>
      </c>
      <c r="AL14">
        <v>337</v>
      </c>
      <c r="AM14">
        <v>312</v>
      </c>
      <c r="AN14">
        <v>802</v>
      </c>
      <c r="AO14">
        <v>0</v>
      </c>
      <c r="AP14">
        <v>19820</v>
      </c>
      <c r="AQ14">
        <v>154</v>
      </c>
      <c r="AR14">
        <v>31</v>
      </c>
      <c r="AS14">
        <v>128</v>
      </c>
      <c r="AT14">
        <v>24</v>
      </c>
      <c r="AU14">
        <v>129</v>
      </c>
      <c r="AV14">
        <v>65</v>
      </c>
      <c r="AW14">
        <v>64</v>
      </c>
      <c r="AX14">
        <v>202</v>
      </c>
      <c r="AY14">
        <v>152</v>
      </c>
      <c r="AZ14">
        <v>152</v>
      </c>
      <c r="BA14">
        <v>0</v>
      </c>
      <c r="BB14">
        <v>0</v>
      </c>
      <c r="BC14">
        <v>1</v>
      </c>
      <c r="BD14">
        <v>2</v>
      </c>
      <c r="BE14">
        <v>3</v>
      </c>
      <c r="BF14">
        <v>3</v>
      </c>
      <c r="BG14">
        <v>3</v>
      </c>
      <c r="BH14">
        <v>4</v>
      </c>
      <c r="BI14">
        <v>5</v>
      </c>
      <c r="BJ14">
        <v>6</v>
      </c>
      <c r="BK14">
        <v>7</v>
      </c>
      <c r="BL14">
        <v>4</v>
      </c>
      <c r="BM14">
        <v>2</v>
      </c>
      <c r="BN14">
        <v>4</v>
      </c>
      <c r="BO14">
        <v>9</v>
      </c>
      <c r="BP14">
        <v>7</v>
      </c>
      <c r="BQ14">
        <v>7</v>
      </c>
      <c r="BR14">
        <v>3</v>
      </c>
      <c r="BS14">
        <v>7</v>
      </c>
      <c r="BT14">
        <v>1</v>
      </c>
      <c r="BU14">
        <v>1</v>
      </c>
      <c r="BV14">
        <v>5</v>
      </c>
      <c r="BW14">
        <v>4</v>
      </c>
      <c r="BX14">
        <v>4</v>
      </c>
      <c r="BY14">
        <v>3</v>
      </c>
      <c r="BZ14">
        <v>6</v>
      </c>
      <c r="CA14">
        <v>4</v>
      </c>
      <c r="CB14">
        <v>16</v>
      </c>
      <c r="CC14">
        <v>8</v>
      </c>
      <c r="CD14">
        <v>63</v>
      </c>
      <c r="CE14">
        <v>64</v>
      </c>
      <c r="CF14">
        <v>2</v>
      </c>
      <c r="CG14">
        <v>0</v>
      </c>
      <c r="CH14">
        <v>3644</v>
      </c>
      <c r="CI14">
        <v>879</v>
      </c>
      <c r="CJ14">
        <v>16952</v>
      </c>
      <c r="CK14">
        <v>3205</v>
      </c>
      <c r="CL14">
        <v>295</v>
      </c>
      <c r="CM14">
        <v>556</v>
      </c>
      <c r="CN14">
        <v>706</v>
      </c>
      <c r="CO14">
        <v>933</v>
      </c>
      <c r="CP14">
        <v>806</v>
      </c>
      <c r="CQ14">
        <v>1227</v>
      </c>
      <c r="CR14">
        <v>3372</v>
      </c>
      <c r="CS14">
        <v>8847</v>
      </c>
      <c r="CT14">
        <v>2050</v>
      </c>
      <c r="CU14">
        <v>639</v>
      </c>
      <c r="CV14">
        <v>305</v>
      </c>
      <c r="CW14">
        <v>386</v>
      </c>
      <c r="CX14">
        <v>35</v>
      </c>
      <c r="CY14">
        <v>2722</v>
      </c>
      <c r="CZ14">
        <v>1483</v>
      </c>
      <c r="DA14">
        <v>21</v>
      </c>
      <c r="DB14">
        <v>295</v>
      </c>
      <c r="DC14">
        <v>2</v>
      </c>
      <c r="DD14">
        <v>1588</v>
      </c>
      <c r="DE14">
        <v>3730</v>
      </c>
      <c r="DF14">
        <v>4014</v>
      </c>
      <c r="DG14">
        <v>10825</v>
      </c>
      <c r="DH14">
        <v>0</v>
      </c>
      <c r="DI14">
        <v>0</v>
      </c>
      <c r="DJ14">
        <v>0</v>
      </c>
      <c r="DK14">
        <v>0</v>
      </c>
      <c r="DL14">
        <v>0</v>
      </c>
      <c r="DM14">
        <v>41</v>
      </c>
      <c r="DN14">
        <v>22</v>
      </c>
      <c r="DO14">
        <v>12</v>
      </c>
      <c r="DP14">
        <v>11</v>
      </c>
      <c r="DQ14">
        <v>0</v>
      </c>
      <c r="DR14">
        <v>0</v>
      </c>
      <c r="DS14">
        <v>0</v>
      </c>
      <c r="DT14">
        <v>0</v>
      </c>
      <c r="DU14">
        <v>0</v>
      </c>
      <c r="DV14">
        <v>414</v>
      </c>
      <c r="DW14">
        <v>426</v>
      </c>
      <c r="DX14">
        <v>653</v>
      </c>
      <c r="DY14">
        <v>653</v>
      </c>
      <c r="DZ14">
        <v>381</v>
      </c>
      <c r="EA14">
        <v>341</v>
      </c>
      <c r="EB14">
        <v>189</v>
      </c>
      <c r="EC14">
        <v>176</v>
      </c>
      <c r="ED14">
        <v>132</v>
      </c>
      <c r="EE14">
        <v>167</v>
      </c>
      <c r="EF14">
        <v>200</v>
      </c>
      <c r="EG14">
        <v>209</v>
      </c>
      <c r="EH14">
        <v>145</v>
      </c>
      <c r="EI14">
        <v>139</v>
      </c>
      <c r="EJ14">
        <v>727</v>
      </c>
      <c r="EK14">
        <v>1151</v>
      </c>
      <c r="EL14">
        <v>635</v>
      </c>
      <c r="EM14">
        <v>299</v>
      </c>
      <c r="EN14">
        <v>245</v>
      </c>
      <c r="EO14">
        <v>331</v>
      </c>
      <c r="EP14">
        <v>245</v>
      </c>
      <c r="EQ14">
        <v>5700</v>
      </c>
      <c r="ER14">
        <v>5613</v>
      </c>
      <c r="ES14">
        <v>87</v>
      </c>
      <c r="ET14">
        <v>1550</v>
      </c>
      <c r="EU14">
        <v>3662</v>
      </c>
      <c r="EV14">
        <v>3650</v>
      </c>
      <c r="EW14">
        <v>12</v>
      </c>
      <c r="EX14">
        <v>3794</v>
      </c>
      <c r="EY14" s="26">
        <v>75.658587999999995</v>
      </c>
      <c r="EZ14" s="26">
        <v>8.0927290000000003</v>
      </c>
      <c r="FA14" s="26">
        <v>6.1116970000000004</v>
      </c>
      <c r="FB14" s="26">
        <v>10.073762</v>
      </c>
      <c r="FC14" s="26">
        <v>6.3224000000000002E-2</v>
      </c>
      <c r="FD14">
        <v>412</v>
      </c>
      <c r="FE14">
        <v>4596</v>
      </c>
      <c r="FF14">
        <v>519</v>
      </c>
      <c r="FG14">
        <v>2197</v>
      </c>
      <c r="FH14">
        <v>0</v>
      </c>
      <c r="FI14">
        <v>1232</v>
      </c>
      <c r="FJ14">
        <v>398</v>
      </c>
      <c r="FK14" s="26" t="s">
        <v>359</v>
      </c>
      <c r="FL14" s="26" t="s">
        <v>359</v>
      </c>
      <c r="FM14" s="26" t="s">
        <v>359</v>
      </c>
      <c r="FN14" s="26" t="s">
        <v>359</v>
      </c>
      <c r="FO14" s="28">
        <v>8567</v>
      </c>
      <c r="FP14" s="28">
        <v>1425</v>
      </c>
      <c r="FQ14">
        <v>421</v>
      </c>
      <c r="FR14">
        <v>66</v>
      </c>
      <c r="FS14">
        <v>27</v>
      </c>
      <c r="FT14">
        <v>3</v>
      </c>
      <c r="FU14">
        <v>7555</v>
      </c>
      <c r="FV14">
        <v>15</v>
      </c>
      <c r="FW14">
        <v>10</v>
      </c>
      <c r="FX14">
        <v>10</v>
      </c>
      <c r="FY14">
        <v>9006</v>
      </c>
      <c r="FZ14">
        <v>1134</v>
      </c>
      <c r="GA14">
        <v>399</v>
      </c>
      <c r="GB14">
        <v>69</v>
      </c>
      <c r="GC14">
        <v>29</v>
      </c>
      <c r="GD14">
        <v>0</v>
      </c>
      <c r="GE14">
        <v>8038</v>
      </c>
      <c r="GF14">
        <v>12</v>
      </c>
      <c r="GG14">
        <v>7</v>
      </c>
      <c r="GH14">
        <v>15</v>
      </c>
      <c r="GI14">
        <v>854</v>
      </c>
      <c r="GJ14">
        <v>1067</v>
      </c>
      <c r="GK14">
        <v>1090</v>
      </c>
      <c r="GL14">
        <v>861</v>
      </c>
      <c r="GM14">
        <v>560</v>
      </c>
      <c r="GN14">
        <v>437</v>
      </c>
      <c r="GO14">
        <v>474</v>
      </c>
      <c r="GP14">
        <v>595</v>
      </c>
      <c r="GQ14">
        <v>549</v>
      </c>
      <c r="GR14">
        <v>439</v>
      </c>
      <c r="GS14">
        <v>375</v>
      </c>
      <c r="GT14">
        <v>330</v>
      </c>
      <c r="GU14">
        <v>249</v>
      </c>
      <c r="GV14">
        <v>197</v>
      </c>
      <c r="GW14">
        <v>165</v>
      </c>
      <c r="GX14">
        <v>142</v>
      </c>
      <c r="GY14">
        <v>94</v>
      </c>
      <c r="GZ14">
        <v>89</v>
      </c>
      <c r="HA14">
        <v>832</v>
      </c>
      <c r="HB14">
        <v>1076</v>
      </c>
      <c r="HC14">
        <v>1040</v>
      </c>
      <c r="HD14">
        <v>809</v>
      </c>
      <c r="HE14">
        <v>633</v>
      </c>
      <c r="HF14">
        <v>621</v>
      </c>
      <c r="HG14">
        <v>621</v>
      </c>
      <c r="HH14">
        <v>621</v>
      </c>
      <c r="HI14">
        <v>577</v>
      </c>
      <c r="HJ14">
        <v>463</v>
      </c>
      <c r="HK14">
        <v>406</v>
      </c>
      <c r="HL14">
        <v>300</v>
      </c>
      <c r="HM14">
        <v>277</v>
      </c>
      <c r="HN14">
        <v>243</v>
      </c>
      <c r="HO14">
        <v>166</v>
      </c>
      <c r="HP14">
        <v>150</v>
      </c>
      <c r="HQ14">
        <v>76</v>
      </c>
      <c r="HR14">
        <v>95</v>
      </c>
      <c r="HS14">
        <v>4131</v>
      </c>
      <c r="HT14">
        <v>0</v>
      </c>
      <c r="HU14">
        <v>0</v>
      </c>
      <c r="HV14">
        <v>0</v>
      </c>
      <c r="HW14">
        <v>4</v>
      </c>
      <c r="HX14">
        <v>0</v>
      </c>
      <c r="HY14">
        <v>1</v>
      </c>
      <c r="HZ14">
        <v>0</v>
      </c>
      <c r="IA14">
        <v>295</v>
      </c>
      <c r="IB14">
        <v>555</v>
      </c>
      <c r="IC14">
        <v>705</v>
      </c>
      <c r="ID14">
        <v>932</v>
      </c>
      <c r="IE14">
        <v>804</v>
      </c>
      <c r="IF14">
        <v>511</v>
      </c>
      <c r="IG14">
        <v>337</v>
      </c>
      <c r="IH14">
        <v>185</v>
      </c>
      <c r="II14">
        <v>194</v>
      </c>
      <c r="IJ14">
        <v>185</v>
      </c>
      <c r="IK14">
        <v>841</v>
      </c>
      <c r="IL14">
        <v>1488</v>
      </c>
      <c r="IM14">
        <v>1080</v>
      </c>
      <c r="IN14">
        <v>585</v>
      </c>
      <c r="IO14">
        <v>208</v>
      </c>
      <c r="IP14">
        <v>70</v>
      </c>
      <c r="IQ14">
        <v>39</v>
      </c>
      <c r="IR14">
        <v>22</v>
      </c>
      <c r="IS14">
        <v>1199</v>
      </c>
      <c r="IT14">
        <v>1920</v>
      </c>
      <c r="IU14">
        <v>990</v>
      </c>
      <c r="IV14">
        <v>329</v>
      </c>
      <c r="IW14">
        <v>80</v>
      </c>
      <c r="IX14">
        <v>1302</v>
      </c>
      <c r="IY14">
        <v>1516</v>
      </c>
      <c r="IZ14">
        <v>75</v>
      </c>
      <c r="JA14">
        <v>45</v>
      </c>
      <c r="JB14">
        <v>7</v>
      </c>
      <c r="JC14">
        <v>68</v>
      </c>
      <c r="JD14">
        <v>4261</v>
      </c>
      <c r="JE14">
        <v>257</v>
      </c>
      <c r="JF14">
        <v>0</v>
      </c>
      <c r="JH14" s="28">
        <v>3585.4871358325231</v>
      </c>
      <c r="JI14" s="28">
        <v>148.85948113118397</v>
      </c>
      <c r="JJ14">
        <v>550</v>
      </c>
      <c r="JK14">
        <v>3751</v>
      </c>
      <c r="JL14">
        <v>217</v>
      </c>
      <c r="JM14">
        <v>0</v>
      </c>
      <c r="JN14">
        <v>2475</v>
      </c>
      <c r="JO14">
        <v>1602</v>
      </c>
      <c r="JP14">
        <v>601</v>
      </c>
      <c r="JQ14">
        <v>2478</v>
      </c>
      <c r="JR14">
        <v>3218</v>
      </c>
      <c r="JS14">
        <v>222</v>
      </c>
      <c r="JT14">
        <v>328</v>
      </c>
      <c r="JU14">
        <v>2674</v>
      </c>
      <c r="JV14">
        <v>512</v>
      </c>
      <c r="JW14" s="28"/>
      <c r="JX14" s="28"/>
      <c r="JY14" s="28"/>
      <c r="JZ14" s="28"/>
      <c r="KA14" s="28">
        <v>4417.0000196399997</v>
      </c>
      <c r="KB14">
        <v>18604</v>
      </c>
      <c r="KC14">
        <v>0</v>
      </c>
      <c r="KD14">
        <v>0</v>
      </c>
      <c r="KE14">
        <v>0</v>
      </c>
      <c r="KF14">
        <v>14</v>
      </c>
      <c r="KG14">
        <v>0</v>
      </c>
      <c r="KH14">
        <v>5</v>
      </c>
      <c r="KI14">
        <v>0</v>
      </c>
      <c r="KJ14">
        <v>2332</v>
      </c>
      <c r="KK14">
        <v>16925</v>
      </c>
      <c r="KL14">
        <v>881</v>
      </c>
      <c r="KM14">
        <v>0</v>
      </c>
      <c r="KT14">
        <v>3047</v>
      </c>
      <c r="KU14">
        <v>3033</v>
      </c>
      <c r="KV14">
        <v>2592</v>
      </c>
      <c r="KW14">
        <v>331</v>
      </c>
      <c r="KX14">
        <v>60</v>
      </c>
      <c r="KZ14">
        <v>2582</v>
      </c>
      <c r="LA14">
        <v>298</v>
      </c>
      <c r="LB14">
        <v>72</v>
      </c>
      <c r="LD14">
        <v>1820</v>
      </c>
      <c r="LE14">
        <v>1800</v>
      </c>
      <c r="LF14">
        <v>442</v>
      </c>
      <c r="LG14">
        <v>906</v>
      </c>
      <c r="LH14">
        <v>13371</v>
      </c>
      <c r="LI14">
        <v>21</v>
      </c>
      <c r="LJ14">
        <v>1510</v>
      </c>
      <c r="LK14">
        <v>219</v>
      </c>
      <c r="LL14">
        <v>1591</v>
      </c>
      <c r="LM14">
        <v>1</v>
      </c>
      <c r="LN14">
        <v>732</v>
      </c>
      <c r="LO14">
        <v>167</v>
      </c>
      <c r="LP14">
        <v>25</v>
      </c>
      <c r="LQ14">
        <v>1537</v>
      </c>
      <c r="LR14">
        <v>158</v>
      </c>
      <c r="LS14">
        <v>1506</v>
      </c>
      <c r="LT14">
        <v>0</v>
      </c>
      <c r="LU14">
        <v>674</v>
      </c>
      <c r="LV14">
        <v>121</v>
      </c>
      <c r="LW14" s="44"/>
      <c r="LX14" s="44"/>
      <c r="LY14" s="44"/>
      <c r="LZ14">
        <v>4518</v>
      </c>
      <c r="MA14">
        <v>20138</v>
      </c>
      <c r="MB14">
        <v>20142</v>
      </c>
      <c r="MC14">
        <v>184</v>
      </c>
      <c r="MD14" s="26">
        <v>10.081519999999999</v>
      </c>
      <c r="ME14" s="26">
        <v>7.1827059999999996</v>
      </c>
      <c r="MF14" s="26">
        <v>57.333033999999998</v>
      </c>
      <c r="MG14" s="26">
        <v>12.695342</v>
      </c>
      <c r="MH14" s="26">
        <v>12.173527999999999</v>
      </c>
      <c r="MI14" s="26">
        <v>2.1248339999999999</v>
      </c>
      <c r="MJ14" s="26">
        <v>16.356794999999998</v>
      </c>
      <c r="MK14" s="26">
        <v>5.688358</v>
      </c>
      <c r="ML14" s="26">
        <v>2.2355019999999999</v>
      </c>
      <c r="MM14" s="26">
        <v>64.541832999999997</v>
      </c>
      <c r="MN14" s="26">
        <v>45.219124000000001</v>
      </c>
      <c r="MO14" s="26">
        <v>0.61093399999999998</v>
      </c>
      <c r="MP14" t="s">
        <v>1029</v>
      </c>
      <c r="MQ14">
        <v>556</v>
      </c>
      <c r="MR14">
        <v>52</v>
      </c>
    </row>
    <row r="15" spans="1:356">
      <c r="A15" t="s">
        <v>263</v>
      </c>
      <c r="B15" t="s">
        <v>264</v>
      </c>
      <c r="C15">
        <v>14436</v>
      </c>
      <c r="D15">
        <v>17282</v>
      </c>
      <c r="E15">
        <v>23603</v>
      </c>
      <c r="F15">
        <f t="shared" si="0"/>
        <v>6321</v>
      </c>
      <c r="G15" s="26">
        <f t="shared" si="1"/>
        <v>36.575627820854066</v>
      </c>
      <c r="H15">
        <v>11814</v>
      </c>
      <c r="I15">
        <v>11789</v>
      </c>
      <c r="J15">
        <v>10026</v>
      </c>
      <c r="K15">
        <v>13577</v>
      </c>
      <c r="L15">
        <v>1560</v>
      </c>
      <c r="M15">
        <v>1531</v>
      </c>
      <c r="N15">
        <v>1387</v>
      </c>
      <c r="O15">
        <v>1184</v>
      </c>
      <c r="P15">
        <v>1011</v>
      </c>
      <c r="Q15">
        <v>998</v>
      </c>
      <c r="R15">
        <v>795</v>
      </c>
      <c r="S15">
        <v>661</v>
      </c>
      <c r="T15">
        <v>586</v>
      </c>
      <c r="U15">
        <v>518</v>
      </c>
      <c r="V15">
        <v>405</v>
      </c>
      <c r="W15">
        <v>324</v>
      </c>
      <c r="X15">
        <v>261</v>
      </c>
      <c r="Y15">
        <v>576</v>
      </c>
      <c r="Z15">
        <v>17</v>
      </c>
      <c r="AA15">
        <v>1556</v>
      </c>
      <c r="AB15">
        <v>1481</v>
      </c>
      <c r="AC15">
        <v>1342</v>
      </c>
      <c r="AD15">
        <v>1181</v>
      </c>
      <c r="AE15">
        <v>1134</v>
      </c>
      <c r="AF15">
        <v>1036</v>
      </c>
      <c r="AG15">
        <v>862</v>
      </c>
      <c r="AH15">
        <v>742</v>
      </c>
      <c r="AI15">
        <v>592</v>
      </c>
      <c r="AJ15">
        <v>503</v>
      </c>
      <c r="AK15">
        <v>389</v>
      </c>
      <c r="AL15">
        <v>283</v>
      </c>
      <c r="AM15">
        <v>233</v>
      </c>
      <c r="AN15">
        <v>439</v>
      </c>
      <c r="AO15">
        <v>16</v>
      </c>
      <c r="AP15">
        <v>19072</v>
      </c>
      <c r="AQ15">
        <v>3241</v>
      </c>
      <c r="AR15">
        <v>92</v>
      </c>
      <c r="AS15">
        <v>1156</v>
      </c>
      <c r="AT15">
        <v>42</v>
      </c>
      <c r="AU15">
        <v>5448</v>
      </c>
      <c r="AV15">
        <v>2683</v>
      </c>
      <c r="AW15">
        <v>2765</v>
      </c>
      <c r="AX15">
        <v>3746</v>
      </c>
      <c r="AY15">
        <v>4553</v>
      </c>
      <c r="AZ15">
        <v>3533</v>
      </c>
      <c r="BA15">
        <v>1020</v>
      </c>
      <c r="BB15">
        <v>118</v>
      </c>
      <c r="BC15">
        <v>143</v>
      </c>
      <c r="BD15">
        <v>285</v>
      </c>
      <c r="BE15">
        <v>277</v>
      </c>
      <c r="BF15">
        <v>284</v>
      </c>
      <c r="BG15">
        <v>248</v>
      </c>
      <c r="BH15">
        <v>251</v>
      </c>
      <c r="BI15">
        <v>288</v>
      </c>
      <c r="BJ15">
        <v>264</v>
      </c>
      <c r="BK15">
        <v>291</v>
      </c>
      <c r="BL15">
        <v>236</v>
      </c>
      <c r="BM15">
        <v>292</v>
      </c>
      <c r="BN15">
        <v>228</v>
      </c>
      <c r="BO15">
        <v>215</v>
      </c>
      <c r="BP15">
        <v>155</v>
      </c>
      <c r="BQ15">
        <v>208</v>
      </c>
      <c r="BR15">
        <v>164</v>
      </c>
      <c r="BS15">
        <v>175</v>
      </c>
      <c r="BT15">
        <v>170</v>
      </c>
      <c r="BU15">
        <v>163</v>
      </c>
      <c r="BV15">
        <v>132</v>
      </c>
      <c r="BW15">
        <v>126</v>
      </c>
      <c r="BX15">
        <v>112</v>
      </c>
      <c r="BY15">
        <v>107</v>
      </c>
      <c r="BZ15">
        <v>89</v>
      </c>
      <c r="CA15">
        <v>85</v>
      </c>
      <c r="CB15">
        <v>195</v>
      </c>
      <c r="CC15">
        <v>147</v>
      </c>
      <c r="CD15">
        <v>2554</v>
      </c>
      <c r="CE15">
        <v>2547</v>
      </c>
      <c r="CF15">
        <v>118</v>
      </c>
      <c r="CG15">
        <v>211</v>
      </c>
      <c r="CH15">
        <v>4350</v>
      </c>
      <c r="CI15">
        <v>1123</v>
      </c>
      <c r="CJ15">
        <v>19275</v>
      </c>
      <c r="CK15">
        <v>4194</v>
      </c>
      <c r="CL15">
        <v>395</v>
      </c>
      <c r="CM15">
        <v>699</v>
      </c>
      <c r="CN15">
        <v>1002</v>
      </c>
      <c r="CO15">
        <v>1114</v>
      </c>
      <c r="CP15">
        <v>981</v>
      </c>
      <c r="CQ15">
        <v>1282</v>
      </c>
      <c r="CR15">
        <v>4142</v>
      </c>
      <c r="CS15">
        <v>11084</v>
      </c>
      <c r="CT15">
        <v>1518</v>
      </c>
      <c r="CU15">
        <v>463</v>
      </c>
      <c r="CV15">
        <v>188</v>
      </c>
      <c r="CW15">
        <v>492</v>
      </c>
      <c r="CX15">
        <v>80</v>
      </c>
      <c r="CY15">
        <v>3770</v>
      </c>
      <c r="CZ15">
        <v>1245</v>
      </c>
      <c r="DA15">
        <v>40</v>
      </c>
      <c r="DB15">
        <v>395</v>
      </c>
      <c r="DC15">
        <v>14</v>
      </c>
      <c r="DD15">
        <v>634</v>
      </c>
      <c r="DE15">
        <v>790</v>
      </c>
      <c r="DF15">
        <v>1077</v>
      </c>
      <c r="DG15">
        <v>11076</v>
      </c>
      <c r="DH15">
        <v>0</v>
      </c>
      <c r="DI15">
        <v>0</v>
      </c>
      <c r="DJ15">
        <v>10026</v>
      </c>
      <c r="DK15">
        <v>0</v>
      </c>
      <c r="DL15">
        <v>0</v>
      </c>
      <c r="DM15">
        <v>30</v>
      </c>
      <c r="DN15">
        <v>4</v>
      </c>
      <c r="DO15">
        <v>3</v>
      </c>
      <c r="DP15">
        <v>11</v>
      </c>
      <c r="DQ15">
        <v>0</v>
      </c>
      <c r="DR15">
        <v>0</v>
      </c>
      <c r="DS15">
        <v>1</v>
      </c>
      <c r="DT15">
        <v>0</v>
      </c>
      <c r="DU15">
        <v>0</v>
      </c>
      <c r="DV15">
        <v>406</v>
      </c>
      <c r="DW15">
        <v>435</v>
      </c>
      <c r="DX15">
        <v>669</v>
      </c>
      <c r="DY15">
        <v>597</v>
      </c>
      <c r="DZ15">
        <v>382</v>
      </c>
      <c r="EA15">
        <v>298</v>
      </c>
      <c r="EB15">
        <v>250</v>
      </c>
      <c r="EC15">
        <v>247</v>
      </c>
      <c r="ED15">
        <v>208</v>
      </c>
      <c r="EE15">
        <v>164</v>
      </c>
      <c r="EF15">
        <v>252</v>
      </c>
      <c r="EG15">
        <v>264</v>
      </c>
      <c r="EH15">
        <v>148</v>
      </c>
      <c r="EI15">
        <v>112</v>
      </c>
      <c r="EJ15">
        <v>476</v>
      </c>
      <c r="EK15">
        <v>700</v>
      </c>
      <c r="EL15">
        <v>385</v>
      </c>
      <c r="EM15">
        <v>199</v>
      </c>
      <c r="EN15">
        <v>161</v>
      </c>
      <c r="EO15">
        <v>250</v>
      </c>
      <c r="EP15">
        <v>92</v>
      </c>
      <c r="EQ15">
        <v>6695</v>
      </c>
      <c r="ER15">
        <v>6565</v>
      </c>
      <c r="ES15">
        <v>130</v>
      </c>
      <c r="ET15">
        <v>1303</v>
      </c>
      <c r="EU15">
        <v>3574</v>
      </c>
      <c r="EV15">
        <v>3562</v>
      </c>
      <c r="EW15">
        <v>12</v>
      </c>
      <c r="EX15">
        <v>4568</v>
      </c>
      <c r="EY15" s="26">
        <v>51.529725999999997</v>
      </c>
      <c r="EZ15" s="26">
        <v>12.371409</v>
      </c>
      <c r="FA15" s="26">
        <v>13.934536</v>
      </c>
      <c r="FB15" s="26">
        <v>21.736806999999999</v>
      </c>
      <c r="FC15" s="26">
        <v>0.42752200000000001</v>
      </c>
      <c r="FD15">
        <v>1561</v>
      </c>
      <c r="FE15">
        <v>3667</v>
      </c>
      <c r="FF15">
        <v>517</v>
      </c>
      <c r="FG15">
        <v>2306</v>
      </c>
      <c r="FH15">
        <v>4</v>
      </c>
      <c r="FI15">
        <v>1701</v>
      </c>
      <c r="FJ15">
        <v>503</v>
      </c>
      <c r="FK15" s="26" t="s">
        <v>359</v>
      </c>
      <c r="FL15" s="26" t="s">
        <v>359</v>
      </c>
      <c r="FM15" s="26" t="s">
        <v>359</v>
      </c>
      <c r="FN15" s="26" t="s">
        <v>359</v>
      </c>
      <c r="FO15" s="28">
        <v>5888</v>
      </c>
      <c r="FP15" s="28">
        <v>5907</v>
      </c>
      <c r="FQ15">
        <v>1087</v>
      </c>
      <c r="FR15">
        <v>48</v>
      </c>
      <c r="FS15">
        <v>10</v>
      </c>
      <c r="FT15">
        <v>275</v>
      </c>
      <c r="FU15">
        <v>3786</v>
      </c>
      <c r="FV15">
        <v>14</v>
      </c>
      <c r="FW15">
        <v>42</v>
      </c>
      <c r="FX15">
        <v>19</v>
      </c>
      <c r="FY15">
        <v>5969</v>
      </c>
      <c r="FZ15">
        <v>5799</v>
      </c>
      <c r="GA15">
        <v>1097</v>
      </c>
      <c r="GB15">
        <v>45</v>
      </c>
      <c r="GC15">
        <v>8</v>
      </c>
      <c r="GD15">
        <v>102</v>
      </c>
      <c r="GE15">
        <v>4035</v>
      </c>
      <c r="GF15">
        <v>8</v>
      </c>
      <c r="GG15">
        <v>38</v>
      </c>
      <c r="GH15">
        <v>21</v>
      </c>
      <c r="GI15">
        <v>655</v>
      </c>
      <c r="GJ15">
        <v>842</v>
      </c>
      <c r="GK15">
        <v>730</v>
      </c>
      <c r="GL15">
        <v>608</v>
      </c>
      <c r="GM15">
        <v>480</v>
      </c>
      <c r="GN15">
        <v>510</v>
      </c>
      <c r="GO15">
        <v>367</v>
      </c>
      <c r="GP15">
        <v>347</v>
      </c>
      <c r="GQ15">
        <v>311</v>
      </c>
      <c r="GR15">
        <v>264</v>
      </c>
      <c r="GS15">
        <v>187</v>
      </c>
      <c r="GT15">
        <v>158</v>
      </c>
      <c r="GU15">
        <v>126</v>
      </c>
      <c r="GV15">
        <v>106</v>
      </c>
      <c r="GW15">
        <v>66</v>
      </c>
      <c r="GX15">
        <v>54</v>
      </c>
      <c r="GY15">
        <v>40</v>
      </c>
      <c r="GZ15">
        <v>37</v>
      </c>
      <c r="HA15">
        <v>652</v>
      </c>
      <c r="HB15">
        <v>730</v>
      </c>
      <c r="HC15">
        <v>712</v>
      </c>
      <c r="HD15">
        <v>547</v>
      </c>
      <c r="HE15">
        <v>563</v>
      </c>
      <c r="HF15">
        <v>563</v>
      </c>
      <c r="HG15">
        <v>452</v>
      </c>
      <c r="HH15">
        <v>399</v>
      </c>
      <c r="HI15">
        <v>342</v>
      </c>
      <c r="HJ15">
        <v>266</v>
      </c>
      <c r="HK15">
        <v>199</v>
      </c>
      <c r="HL15">
        <v>164</v>
      </c>
      <c r="HM15">
        <v>121</v>
      </c>
      <c r="HN15">
        <v>88</v>
      </c>
      <c r="HO15">
        <v>65</v>
      </c>
      <c r="HP15">
        <v>56</v>
      </c>
      <c r="HQ15">
        <v>21</v>
      </c>
      <c r="HR15">
        <v>29</v>
      </c>
      <c r="HS15">
        <v>3972</v>
      </c>
      <c r="HT15">
        <v>24</v>
      </c>
      <c r="HU15">
        <v>122</v>
      </c>
      <c r="HV15">
        <v>0</v>
      </c>
      <c r="HW15">
        <v>28</v>
      </c>
      <c r="HX15">
        <v>0</v>
      </c>
      <c r="HY15">
        <v>2</v>
      </c>
      <c r="HZ15">
        <v>2</v>
      </c>
      <c r="IA15">
        <v>393</v>
      </c>
      <c r="IB15">
        <v>693</v>
      </c>
      <c r="IC15">
        <v>997</v>
      </c>
      <c r="ID15">
        <v>1108</v>
      </c>
      <c r="IE15">
        <v>978</v>
      </c>
      <c r="IF15">
        <v>557</v>
      </c>
      <c r="IG15">
        <v>327</v>
      </c>
      <c r="IH15">
        <v>166</v>
      </c>
      <c r="II15">
        <v>224</v>
      </c>
      <c r="IJ15">
        <v>834</v>
      </c>
      <c r="IK15">
        <v>1473</v>
      </c>
      <c r="IL15">
        <v>1583</v>
      </c>
      <c r="IM15">
        <v>943</v>
      </c>
      <c r="IN15">
        <v>421</v>
      </c>
      <c r="IO15">
        <v>122</v>
      </c>
      <c r="IP15">
        <v>36</v>
      </c>
      <c r="IQ15">
        <v>13</v>
      </c>
      <c r="IR15">
        <v>9</v>
      </c>
      <c r="IS15">
        <v>2340</v>
      </c>
      <c r="IT15">
        <v>2061</v>
      </c>
      <c r="IU15">
        <v>743</v>
      </c>
      <c r="IV15">
        <v>244</v>
      </c>
      <c r="IW15">
        <v>46</v>
      </c>
      <c r="IX15">
        <v>457</v>
      </c>
      <c r="IY15">
        <v>1469</v>
      </c>
      <c r="IZ15">
        <v>3</v>
      </c>
      <c r="JA15">
        <v>76</v>
      </c>
      <c r="JB15">
        <v>56</v>
      </c>
      <c r="JC15">
        <v>271</v>
      </c>
      <c r="JD15">
        <v>4970</v>
      </c>
      <c r="JE15">
        <v>463</v>
      </c>
      <c r="JF15">
        <v>10</v>
      </c>
      <c r="JH15" s="28">
        <v>3214.4681851528717</v>
      </c>
      <c r="JI15" s="28">
        <v>329.52482520205865</v>
      </c>
      <c r="JJ15">
        <v>590</v>
      </c>
      <c r="JK15">
        <v>4620</v>
      </c>
      <c r="JL15">
        <v>224</v>
      </c>
      <c r="JM15">
        <v>9</v>
      </c>
      <c r="JN15">
        <v>3612</v>
      </c>
      <c r="JO15">
        <v>2810</v>
      </c>
      <c r="JP15">
        <v>1107</v>
      </c>
      <c r="JQ15">
        <v>1698</v>
      </c>
      <c r="JR15">
        <v>3673</v>
      </c>
      <c r="JS15">
        <v>432</v>
      </c>
      <c r="JT15">
        <v>102</v>
      </c>
      <c r="JU15">
        <v>3690</v>
      </c>
      <c r="JV15">
        <v>355</v>
      </c>
      <c r="JW15" s="28"/>
      <c r="JX15" s="28"/>
      <c r="JY15" s="28"/>
      <c r="JZ15" s="28"/>
      <c r="KA15" s="28">
        <v>5304.9999741900001</v>
      </c>
      <c r="KB15">
        <v>17695</v>
      </c>
      <c r="KC15">
        <v>74</v>
      </c>
      <c r="KD15">
        <v>319</v>
      </c>
      <c r="KE15">
        <v>0</v>
      </c>
      <c r="KF15">
        <v>114</v>
      </c>
      <c r="KG15">
        <v>0</v>
      </c>
      <c r="KH15">
        <v>11</v>
      </c>
      <c r="KI15">
        <v>3</v>
      </c>
      <c r="KJ15">
        <v>2782</v>
      </c>
      <c r="KK15">
        <v>19670</v>
      </c>
      <c r="KL15">
        <v>859</v>
      </c>
      <c r="KM15">
        <v>33</v>
      </c>
      <c r="KT15">
        <v>3483</v>
      </c>
      <c r="KU15">
        <v>3377</v>
      </c>
      <c r="KV15">
        <v>2955</v>
      </c>
      <c r="KW15">
        <v>332</v>
      </c>
      <c r="KX15">
        <v>61</v>
      </c>
      <c r="KZ15">
        <v>2822</v>
      </c>
      <c r="LA15">
        <v>353</v>
      </c>
      <c r="LB15">
        <v>76</v>
      </c>
      <c r="LD15">
        <v>1962</v>
      </c>
      <c r="LE15">
        <v>1938</v>
      </c>
      <c r="LF15">
        <v>875</v>
      </c>
      <c r="LG15">
        <v>1310</v>
      </c>
      <c r="LH15">
        <v>14713</v>
      </c>
      <c r="LI15">
        <v>25</v>
      </c>
      <c r="LJ15">
        <v>1218</v>
      </c>
      <c r="LK15">
        <v>258</v>
      </c>
      <c r="LL15">
        <v>1609</v>
      </c>
      <c r="LM15">
        <v>2</v>
      </c>
      <c r="LN15">
        <v>993</v>
      </c>
      <c r="LO15">
        <v>186</v>
      </c>
      <c r="LP15">
        <v>18</v>
      </c>
      <c r="LQ15">
        <v>1088</v>
      </c>
      <c r="LR15">
        <v>289</v>
      </c>
      <c r="LS15">
        <v>1849</v>
      </c>
      <c r="LT15">
        <v>3</v>
      </c>
      <c r="LU15">
        <v>818</v>
      </c>
      <c r="LV15">
        <v>170</v>
      </c>
      <c r="LW15" s="44"/>
      <c r="LX15" s="44"/>
      <c r="LY15" s="44"/>
      <c r="LZ15">
        <v>5443</v>
      </c>
      <c r="MA15">
        <v>23344</v>
      </c>
      <c r="MB15">
        <v>20193</v>
      </c>
      <c r="MC15">
        <v>5054</v>
      </c>
      <c r="MD15" s="26">
        <v>14.850811999999999</v>
      </c>
      <c r="ME15" s="26">
        <v>13.576613999999999</v>
      </c>
      <c r="MF15" s="26">
        <v>54.312512999999996</v>
      </c>
      <c r="MG15" s="26">
        <v>49.595389999999995</v>
      </c>
      <c r="MH15" s="26">
        <v>10.839611</v>
      </c>
      <c r="MI15" s="26">
        <v>3.7295609999999999</v>
      </c>
      <c r="MJ15" s="26">
        <v>11.133566</v>
      </c>
      <c r="MK15" s="26">
        <v>8.5063379999999995</v>
      </c>
      <c r="ML15" s="26">
        <v>2.5353669999999999</v>
      </c>
      <c r="MM15" s="26">
        <v>48.374057999999998</v>
      </c>
      <c r="MN15" s="26">
        <v>33.639536999999997</v>
      </c>
      <c r="MO15" s="26">
        <v>0.41045399999999999</v>
      </c>
      <c r="MP15" t="s">
        <v>1029</v>
      </c>
      <c r="MQ15">
        <v>653</v>
      </c>
      <c r="MR15">
        <v>64</v>
      </c>
    </row>
    <row r="16" spans="1:356">
      <c r="A16" t="s">
        <v>61</v>
      </c>
      <c r="B16" t="s">
        <v>62</v>
      </c>
      <c r="C16">
        <v>28719</v>
      </c>
      <c r="D16">
        <v>43179</v>
      </c>
      <c r="E16">
        <v>64632</v>
      </c>
      <c r="F16">
        <f t="shared" si="0"/>
        <v>21453</v>
      </c>
      <c r="G16" s="26">
        <f t="shared" si="1"/>
        <v>49.683874105467936</v>
      </c>
      <c r="H16">
        <v>31914</v>
      </c>
      <c r="I16">
        <v>32718</v>
      </c>
      <c r="J16">
        <v>45962</v>
      </c>
      <c r="K16">
        <v>18670</v>
      </c>
      <c r="L16">
        <v>3276</v>
      </c>
      <c r="M16">
        <v>3673</v>
      </c>
      <c r="N16">
        <v>3392</v>
      </c>
      <c r="O16">
        <v>3098</v>
      </c>
      <c r="P16">
        <v>2660</v>
      </c>
      <c r="Q16">
        <v>2516</v>
      </c>
      <c r="R16">
        <v>2429</v>
      </c>
      <c r="S16">
        <v>2330</v>
      </c>
      <c r="T16">
        <v>2018</v>
      </c>
      <c r="U16">
        <v>1693</v>
      </c>
      <c r="V16">
        <v>1233</v>
      </c>
      <c r="W16">
        <v>1024</v>
      </c>
      <c r="X16">
        <v>825</v>
      </c>
      <c r="Y16">
        <v>1746</v>
      </c>
      <c r="Z16">
        <v>1</v>
      </c>
      <c r="AA16">
        <v>3207</v>
      </c>
      <c r="AB16">
        <v>3539</v>
      </c>
      <c r="AC16">
        <v>3290</v>
      </c>
      <c r="AD16">
        <v>2973</v>
      </c>
      <c r="AE16">
        <v>2766</v>
      </c>
      <c r="AF16">
        <v>2802</v>
      </c>
      <c r="AG16">
        <v>2793</v>
      </c>
      <c r="AH16">
        <v>2642</v>
      </c>
      <c r="AI16">
        <v>2112</v>
      </c>
      <c r="AJ16">
        <v>1690</v>
      </c>
      <c r="AK16">
        <v>1363</v>
      </c>
      <c r="AL16">
        <v>1090</v>
      </c>
      <c r="AM16">
        <v>807</v>
      </c>
      <c r="AN16">
        <v>1642</v>
      </c>
      <c r="AO16">
        <v>2</v>
      </c>
      <c r="AP16">
        <v>60846</v>
      </c>
      <c r="AQ16">
        <v>3583</v>
      </c>
      <c r="AR16">
        <v>41</v>
      </c>
      <c r="AS16">
        <v>153</v>
      </c>
      <c r="AT16">
        <v>9</v>
      </c>
      <c r="AU16">
        <v>2441</v>
      </c>
      <c r="AV16">
        <v>1244</v>
      </c>
      <c r="AW16">
        <v>1197</v>
      </c>
      <c r="AX16">
        <v>1041</v>
      </c>
      <c r="AY16">
        <v>1590</v>
      </c>
      <c r="AZ16">
        <v>1220</v>
      </c>
      <c r="BA16">
        <v>370</v>
      </c>
      <c r="BB16">
        <v>33</v>
      </c>
      <c r="BC16">
        <v>27</v>
      </c>
      <c r="BD16">
        <v>104</v>
      </c>
      <c r="BE16">
        <v>105</v>
      </c>
      <c r="BF16">
        <v>93</v>
      </c>
      <c r="BG16">
        <v>97</v>
      </c>
      <c r="BH16">
        <v>116</v>
      </c>
      <c r="BI16">
        <v>112</v>
      </c>
      <c r="BJ16">
        <v>118</v>
      </c>
      <c r="BK16">
        <v>119</v>
      </c>
      <c r="BL16">
        <v>115</v>
      </c>
      <c r="BM16">
        <v>145</v>
      </c>
      <c r="BN16">
        <v>117</v>
      </c>
      <c r="BO16">
        <v>131</v>
      </c>
      <c r="BP16">
        <v>112</v>
      </c>
      <c r="BQ16">
        <v>132</v>
      </c>
      <c r="BR16">
        <v>99</v>
      </c>
      <c r="BS16">
        <v>78</v>
      </c>
      <c r="BT16">
        <v>96</v>
      </c>
      <c r="BU16">
        <v>69</v>
      </c>
      <c r="BV16">
        <v>63</v>
      </c>
      <c r="BW16">
        <v>56</v>
      </c>
      <c r="BX16">
        <v>49</v>
      </c>
      <c r="BY16">
        <v>38</v>
      </c>
      <c r="BZ16">
        <v>45</v>
      </c>
      <c r="CA16">
        <v>36</v>
      </c>
      <c r="CB16">
        <v>84</v>
      </c>
      <c r="CC16">
        <v>52</v>
      </c>
      <c r="CD16">
        <v>1183</v>
      </c>
      <c r="CE16">
        <v>1107</v>
      </c>
      <c r="CF16">
        <v>58</v>
      </c>
      <c r="CG16">
        <v>86</v>
      </c>
      <c r="CH16">
        <v>11516</v>
      </c>
      <c r="CI16">
        <v>4676</v>
      </c>
      <c r="CJ16">
        <v>47214</v>
      </c>
      <c r="CK16">
        <v>17303</v>
      </c>
      <c r="CL16">
        <v>1384</v>
      </c>
      <c r="CM16">
        <v>2615</v>
      </c>
      <c r="CN16">
        <v>3170</v>
      </c>
      <c r="CO16">
        <v>3618</v>
      </c>
      <c r="CP16">
        <v>2496</v>
      </c>
      <c r="CQ16">
        <v>2909</v>
      </c>
      <c r="CR16">
        <v>12015</v>
      </c>
      <c r="CS16">
        <v>27103</v>
      </c>
      <c r="CT16">
        <v>4732</v>
      </c>
      <c r="CU16">
        <v>1794</v>
      </c>
      <c r="CV16">
        <v>712</v>
      </c>
      <c r="CW16">
        <v>1718</v>
      </c>
      <c r="CX16">
        <v>248</v>
      </c>
      <c r="CY16">
        <v>10839</v>
      </c>
      <c r="CZ16">
        <v>3799</v>
      </c>
      <c r="DA16">
        <v>114</v>
      </c>
      <c r="DB16">
        <v>1384</v>
      </c>
      <c r="DC16">
        <v>55</v>
      </c>
      <c r="DD16">
        <v>3274</v>
      </c>
      <c r="DE16">
        <v>3057</v>
      </c>
      <c r="DF16">
        <v>3067</v>
      </c>
      <c r="DG16">
        <v>9272</v>
      </c>
      <c r="DH16">
        <v>2524</v>
      </c>
      <c r="DI16">
        <v>7354</v>
      </c>
      <c r="DJ16">
        <v>36084</v>
      </c>
      <c r="DK16">
        <v>0</v>
      </c>
      <c r="DL16">
        <v>0</v>
      </c>
      <c r="DM16">
        <v>268</v>
      </c>
      <c r="DN16">
        <v>19</v>
      </c>
      <c r="DO16">
        <v>9</v>
      </c>
      <c r="DP16">
        <v>9</v>
      </c>
      <c r="DQ16">
        <v>1</v>
      </c>
      <c r="DR16">
        <v>1</v>
      </c>
      <c r="DS16">
        <v>1</v>
      </c>
      <c r="DT16">
        <v>0</v>
      </c>
      <c r="DU16">
        <v>0</v>
      </c>
      <c r="DV16">
        <v>1477</v>
      </c>
      <c r="DW16">
        <v>1758</v>
      </c>
      <c r="DX16">
        <v>2345</v>
      </c>
      <c r="DY16">
        <v>2572</v>
      </c>
      <c r="DZ16">
        <v>938</v>
      </c>
      <c r="EA16">
        <v>786</v>
      </c>
      <c r="EB16">
        <v>467</v>
      </c>
      <c r="EC16">
        <v>357</v>
      </c>
      <c r="ED16">
        <v>294</v>
      </c>
      <c r="EE16">
        <v>328</v>
      </c>
      <c r="EF16">
        <v>738</v>
      </c>
      <c r="EG16">
        <v>922</v>
      </c>
      <c r="EH16">
        <v>340</v>
      </c>
      <c r="EI16">
        <v>290</v>
      </c>
      <c r="EJ16">
        <v>2005</v>
      </c>
      <c r="EK16">
        <v>2894</v>
      </c>
      <c r="EL16">
        <v>1040</v>
      </c>
      <c r="EM16">
        <v>481</v>
      </c>
      <c r="EN16">
        <v>382</v>
      </c>
      <c r="EO16">
        <v>1023</v>
      </c>
      <c r="EP16">
        <v>353</v>
      </c>
      <c r="EQ16">
        <v>19012</v>
      </c>
      <c r="ER16">
        <v>18583</v>
      </c>
      <c r="ES16">
        <v>429</v>
      </c>
      <c r="ET16">
        <v>4481</v>
      </c>
      <c r="EU16">
        <v>11632</v>
      </c>
      <c r="EV16">
        <v>11510</v>
      </c>
      <c r="EW16">
        <v>122</v>
      </c>
      <c r="EX16">
        <v>12911</v>
      </c>
      <c r="EY16" s="26">
        <v>5.3648239999999996</v>
      </c>
      <c r="EZ16" s="26">
        <v>26.788274000000001</v>
      </c>
      <c r="FA16" s="26">
        <v>21.339811999999998</v>
      </c>
      <c r="FB16" s="26">
        <v>45.304285</v>
      </c>
      <c r="FC16" s="26">
        <v>1.202804</v>
      </c>
      <c r="FD16">
        <v>2707</v>
      </c>
      <c r="FE16">
        <v>9964</v>
      </c>
      <c r="FF16">
        <v>1225</v>
      </c>
      <c r="FG16">
        <v>6100</v>
      </c>
      <c r="FH16">
        <v>33</v>
      </c>
      <c r="FI16">
        <v>5405</v>
      </c>
      <c r="FJ16">
        <v>5196</v>
      </c>
      <c r="FK16" s="26" t="s">
        <v>359</v>
      </c>
      <c r="FL16" s="26" t="s">
        <v>359</v>
      </c>
      <c r="FM16" s="26" t="s">
        <v>359</v>
      </c>
      <c r="FN16" s="26" t="s">
        <v>359</v>
      </c>
      <c r="FO16" s="28">
        <v>17839</v>
      </c>
      <c r="FP16" s="28">
        <v>14066</v>
      </c>
      <c r="FQ16">
        <v>5215</v>
      </c>
      <c r="FR16">
        <v>855</v>
      </c>
      <c r="FS16">
        <v>205</v>
      </c>
      <c r="FT16">
        <v>721</v>
      </c>
      <c r="FU16">
        <v>10384</v>
      </c>
      <c r="FV16">
        <v>242</v>
      </c>
      <c r="FW16">
        <v>255</v>
      </c>
      <c r="FX16">
        <v>9</v>
      </c>
      <c r="FY16">
        <v>19172</v>
      </c>
      <c r="FZ16">
        <v>13540</v>
      </c>
      <c r="GA16">
        <v>5013</v>
      </c>
      <c r="GB16">
        <v>1003</v>
      </c>
      <c r="GC16">
        <v>235</v>
      </c>
      <c r="GD16">
        <v>646</v>
      </c>
      <c r="GE16">
        <v>11837</v>
      </c>
      <c r="GF16">
        <v>234</v>
      </c>
      <c r="GG16">
        <v>250</v>
      </c>
      <c r="GH16">
        <v>6</v>
      </c>
      <c r="GI16">
        <v>1818</v>
      </c>
      <c r="GJ16">
        <v>2240</v>
      </c>
      <c r="GK16">
        <v>2038</v>
      </c>
      <c r="GL16">
        <v>1700</v>
      </c>
      <c r="GM16">
        <v>1301</v>
      </c>
      <c r="GN16">
        <v>1342</v>
      </c>
      <c r="GO16">
        <v>1347</v>
      </c>
      <c r="GP16">
        <v>1302</v>
      </c>
      <c r="GQ16">
        <v>1091</v>
      </c>
      <c r="GR16">
        <v>932</v>
      </c>
      <c r="GS16">
        <v>655</v>
      </c>
      <c r="GT16">
        <v>550</v>
      </c>
      <c r="GU16">
        <v>462</v>
      </c>
      <c r="GV16">
        <v>401</v>
      </c>
      <c r="GW16">
        <v>288</v>
      </c>
      <c r="GX16">
        <v>178</v>
      </c>
      <c r="GY16">
        <v>98</v>
      </c>
      <c r="GZ16">
        <v>96</v>
      </c>
      <c r="HA16">
        <v>1733</v>
      </c>
      <c r="HB16">
        <v>2125</v>
      </c>
      <c r="HC16">
        <v>1969</v>
      </c>
      <c r="HD16">
        <v>1677</v>
      </c>
      <c r="HE16">
        <v>1523</v>
      </c>
      <c r="HF16">
        <v>1680</v>
      </c>
      <c r="HG16">
        <v>1688</v>
      </c>
      <c r="HH16">
        <v>1584</v>
      </c>
      <c r="HI16">
        <v>1276</v>
      </c>
      <c r="HJ16">
        <v>986</v>
      </c>
      <c r="HK16">
        <v>782</v>
      </c>
      <c r="HL16">
        <v>630</v>
      </c>
      <c r="HM16">
        <v>517</v>
      </c>
      <c r="HN16">
        <v>382</v>
      </c>
      <c r="HO16">
        <v>261</v>
      </c>
      <c r="HP16">
        <v>163</v>
      </c>
      <c r="HQ16">
        <v>92</v>
      </c>
      <c r="HR16">
        <v>104</v>
      </c>
      <c r="HS16">
        <v>12894</v>
      </c>
      <c r="HT16">
        <v>1054</v>
      </c>
      <c r="HU16">
        <v>97</v>
      </c>
      <c r="HV16">
        <v>0</v>
      </c>
      <c r="HW16">
        <v>13</v>
      </c>
      <c r="HX16">
        <v>0</v>
      </c>
      <c r="HY16">
        <v>3</v>
      </c>
      <c r="HZ16">
        <v>4</v>
      </c>
      <c r="IA16">
        <v>1381</v>
      </c>
      <c r="IB16">
        <v>2613</v>
      </c>
      <c r="IC16">
        <v>3167</v>
      </c>
      <c r="ID16">
        <v>3616</v>
      </c>
      <c r="IE16">
        <v>2494</v>
      </c>
      <c r="IF16">
        <v>1311</v>
      </c>
      <c r="IG16">
        <v>655</v>
      </c>
      <c r="IH16">
        <v>382</v>
      </c>
      <c r="II16">
        <v>557</v>
      </c>
      <c r="IJ16">
        <v>2265</v>
      </c>
      <c r="IK16">
        <v>3597</v>
      </c>
      <c r="IL16">
        <v>5244</v>
      </c>
      <c r="IM16">
        <v>2857</v>
      </c>
      <c r="IN16">
        <v>1206</v>
      </c>
      <c r="IO16">
        <v>622</v>
      </c>
      <c r="IP16">
        <v>222</v>
      </c>
      <c r="IQ16">
        <v>96</v>
      </c>
      <c r="IR16">
        <v>66</v>
      </c>
      <c r="IS16">
        <v>7000</v>
      </c>
      <c r="IT16">
        <v>6608</v>
      </c>
      <c r="IU16">
        <v>1976</v>
      </c>
      <c r="IV16">
        <v>467</v>
      </c>
      <c r="IW16">
        <v>125</v>
      </c>
      <c r="IX16">
        <v>5821</v>
      </c>
      <c r="IY16">
        <v>3226</v>
      </c>
      <c r="IZ16">
        <v>11</v>
      </c>
      <c r="JA16">
        <v>68</v>
      </c>
      <c r="JB16">
        <v>2162</v>
      </c>
      <c r="JC16">
        <v>428</v>
      </c>
      <c r="JD16">
        <v>15587</v>
      </c>
      <c r="JE16">
        <v>588</v>
      </c>
      <c r="JF16">
        <v>1</v>
      </c>
      <c r="JH16" s="28">
        <v>8402.2961685494392</v>
      </c>
      <c r="JI16" s="28">
        <v>809.65906598852973</v>
      </c>
      <c r="JJ16">
        <v>1563</v>
      </c>
      <c r="JK16">
        <v>10325</v>
      </c>
      <c r="JL16">
        <v>4288</v>
      </c>
      <c r="JM16">
        <v>0</v>
      </c>
      <c r="JN16">
        <v>12246</v>
      </c>
      <c r="JO16">
        <v>9342</v>
      </c>
      <c r="JP16">
        <v>4025</v>
      </c>
      <c r="JQ16">
        <v>9825</v>
      </c>
      <c r="JR16">
        <v>14078</v>
      </c>
      <c r="JS16">
        <v>3524</v>
      </c>
      <c r="JT16">
        <v>1558</v>
      </c>
      <c r="JU16">
        <v>13874</v>
      </c>
      <c r="JV16">
        <v>5751</v>
      </c>
      <c r="JW16" s="28"/>
      <c r="JX16" s="28"/>
      <c r="JY16" s="28"/>
      <c r="JZ16" s="28"/>
      <c r="KA16" s="28">
        <v>15981.99993792</v>
      </c>
      <c r="KB16">
        <v>52387</v>
      </c>
      <c r="KC16">
        <v>3285</v>
      </c>
      <c r="KD16">
        <v>248</v>
      </c>
      <c r="KE16">
        <v>0</v>
      </c>
      <c r="KF16">
        <v>56</v>
      </c>
      <c r="KG16">
        <v>0</v>
      </c>
      <c r="KH16">
        <v>6</v>
      </c>
      <c r="KI16">
        <v>11</v>
      </c>
      <c r="KJ16">
        <v>6323</v>
      </c>
      <c r="KK16">
        <v>43365</v>
      </c>
      <c r="KL16">
        <v>14767</v>
      </c>
      <c r="KM16">
        <v>0</v>
      </c>
      <c r="KT16">
        <v>8908</v>
      </c>
      <c r="KU16">
        <v>8605</v>
      </c>
      <c r="KV16">
        <v>7143</v>
      </c>
      <c r="KW16">
        <v>934</v>
      </c>
      <c r="KX16">
        <v>555</v>
      </c>
      <c r="KZ16">
        <v>6965</v>
      </c>
      <c r="LA16">
        <v>884</v>
      </c>
      <c r="LB16">
        <v>487</v>
      </c>
      <c r="LD16">
        <v>5130</v>
      </c>
      <c r="LE16">
        <v>5062</v>
      </c>
      <c r="LF16">
        <v>1670</v>
      </c>
      <c r="LG16">
        <v>2754</v>
      </c>
      <c r="LH16">
        <v>44252</v>
      </c>
      <c r="LI16">
        <v>70</v>
      </c>
      <c r="LJ16">
        <v>3551</v>
      </c>
      <c r="LK16">
        <v>863</v>
      </c>
      <c r="LL16">
        <v>4267</v>
      </c>
      <c r="LM16">
        <v>14</v>
      </c>
      <c r="LN16">
        <v>3051</v>
      </c>
      <c r="LO16">
        <v>2178</v>
      </c>
      <c r="LP16">
        <v>103</v>
      </c>
      <c r="LQ16">
        <v>3950</v>
      </c>
      <c r="LR16">
        <v>844</v>
      </c>
      <c r="LS16">
        <v>4732</v>
      </c>
      <c r="LT16">
        <v>43</v>
      </c>
      <c r="LU16">
        <v>2797</v>
      </c>
      <c r="LV16">
        <v>1934</v>
      </c>
      <c r="LW16" s="44"/>
      <c r="LX16" s="44"/>
      <c r="LY16" s="44"/>
      <c r="LZ16">
        <v>16176</v>
      </c>
      <c r="MA16">
        <v>64455</v>
      </c>
      <c r="MB16">
        <v>51722</v>
      </c>
      <c r="MC16">
        <v>2414</v>
      </c>
      <c r="MD16" s="26">
        <v>9.9972879999999993</v>
      </c>
      <c r="ME16" s="26">
        <v>12.605108999999999</v>
      </c>
      <c r="MF16" s="26">
        <v>46.167404999999995</v>
      </c>
      <c r="MG16" s="26">
        <v>42.712587999999997</v>
      </c>
      <c r="MH16" s="26">
        <v>9.6624629999999989</v>
      </c>
      <c r="MI16" s="26">
        <v>3.128091</v>
      </c>
      <c r="MJ16" s="26">
        <v>17.111771000000001</v>
      </c>
      <c r="MK16" s="26">
        <v>3.6350149999999997</v>
      </c>
      <c r="ML16" s="26">
        <v>1.199308</v>
      </c>
      <c r="MM16" s="26">
        <v>42.247774</v>
      </c>
      <c r="MN16" s="26">
        <v>24.295251999999998</v>
      </c>
      <c r="MO16" s="26">
        <v>4.5574999999999997E-2</v>
      </c>
      <c r="MP16" t="s">
        <v>1027</v>
      </c>
      <c r="MQ16">
        <v>975</v>
      </c>
      <c r="MR16">
        <v>91</v>
      </c>
    </row>
    <row r="17" spans="1:356">
      <c r="A17" t="s">
        <v>63</v>
      </c>
      <c r="B17" t="s">
        <v>64</v>
      </c>
      <c r="C17">
        <v>22722</v>
      </c>
      <c r="D17">
        <v>30642</v>
      </c>
      <c r="E17">
        <v>37263</v>
      </c>
      <c r="F17">
        <f t="shared" si="0"/>
        <v>6621</v>
      </c>
      <c r="G17" s="26">
        <f t="shared" si="1"/>
        <v>21.607597415312313</v>
      </c>
      <c r="H17">
        <v>18208</v>
      </c>
      <c r="I17">
        <v>19055</v>
      </c>
      <c r="J17">
        <v>14200</v>
      </c>
      <c r="K17">
        <v>23063</v>
      </c>
      <c r="L17">
        <v>2252</v>
      </c>
      <c r="M17">
        <v>2171</v>
      </c>
      <c r="N17">
        <v>2121</v>
      </c>
      <c r="O17">
        <v>1857</v>
      </c>
      <c r="P17">
        <v>1442</v>
      </c>
      <c r="Q17">
        <v>1254</v>
      </c>
      <c r="R17">
        <v>1166</v>
      </c>
      <c r="S17">
        <v>1030</v>
      </c>
      <c r="T17">
        <v>818</v>
      </c>
      <c r="U17">
        <v>692</v>
      </c>
      <c r="V17">
        <v>558</v>
      </c>
      <c r="W17">
        <v>453</v>
      </c>
      <c r="X17">
        <v>325</v>
      </c>
      <c r="Y17">
        <v>761</v>
      </c>
      <c r="Z17">
        <v>1308</v>
      </c>
      <c r="AA17">
        <v>2346</v>
      </c>
      <c r="AB17">
        <v>2175</v>
      </c>
      <c r="AC17">
        <v>2060</v>
      </c>
      <c r="AD17">
        <v>1819</v>
      </c>
      <c r="AE17">
        <v>1611</v>
      </c>
      <c r="AF17">
        <v>1392</v>
      </c>
      <c r="AG17">
        <v>1351</v>
      </c>
      <c r="AH17">
        <v>1135</v>
      </c>
      <c r="AI17">
        <v>933</v>
      </c>
      <c r="AJ17">
        <v>728</v>
      </c>
      <c r="AK17">
        <v>587</v>
      </c>
      <c r="AL17">
        <v>486</v>
      </c>
      <c r="AM17">
        <v>385</v>
      </c>
      <c r="AN17">
        <v>739</v>
      </c>
      <c r="AO17">
        <v>1308</v>
      </c>
      <c r="AP17">
        <v>34458</v>
      </c>
      <c r="AQ17">
        <v>174</v>
      </c>
      <c r="AR17">
        <v>3</v>
      </c>
      <c r="AS17">
        <v>6</v>
      </c>
      <c r="AT17">
        <v>2622</v>
      </c>
      <c r="AU17">
        <v>15165</v>
      </c>
      <c r="AV17">
        <v>7486</v>
      </c>
      <c r="AW17">
        <v>7679</v>
      </c>
      <c r="AX17">
        <v>9559</v>
      </c>
      <c r="AY17">
        <v>14193</v>
      </c>
      <c r="AZ17">
        <v>12331</v>
      </c>
      <c r="BA17">
        <v>1862</v>
      </c>
      <c r="BB17">
        <v>429</v>
      </c>
      <c r="BC17">
        <v>418</v>
      </c>
      <c r="BD17">
        <v>1052</v>
      </c>
      <c r="BE17">
        <v>1081</v>
      </c>
      <c r="BF17">
        <v>1067</v>
      </c>
      <c r="BG17">
        <v>979</v>
      </c>
      <c r="BH17">
        <v>936</v>
      </c>
      <c r="BI17">
        <v>921</v>
      </c>
      <c r="BJ17">
        <v>700</v>
      </c>
      <c r="BK17">
        <v>781</v>
      </c>
      <c r="BL17">
        <v>598</v>
      </c>
      <c r="BM17">
        <v>646</v>
      </c>
      <c r="BN17">
        <v>530</v>
      </c>
      <c r="BO17">
        <v>596</v>
      </c>
      <c r="BP17">
        <v>473</v>
      </c>
      <c r="BQ17">
        <v>498</v>
      </c>
      <c r="BR17">
        <v>376</v>
      </c>
      <c r="BS17">
        <v>427</v>
      </c>
      <c r="BT17">
        <v>308</v>
      </c>
      <c r="BU17">
        <v>344</v>
      </c>
      <c r="BV17">
        <v>269</v>
      </c>
      <c r="BW17">
        <v>262</v>
      </c>
      <c r="BX17">
        <v>215</v>
      </c>
      <c r="BY17">
        <v>222</v>
      </c>
      <c r="BZ17">
        <v>172</v>
      </c>
      <c r="CA17">
        <v>174</v>
      </c>
      <c r="CB17">
        <v>361</v>
      </c>
      <c r="CC17">
        <v>330</v>
      </c>
      <c r="CD17">
        <v>6494</v>
      </c>
      <c r="CE17">
        <v>6223</v>
      </c>
      <c r="CF17">
        <v>943</v>
      </c>
      <c r="CG17">
        <v>1373</v>
      </c>
      <c r="CH17">
        <v>6597</v>
      </c>
      <c r="CI17">
        <v>1810</v>
      </c>
      <c r="CJ17">
        <v>30324</v>
      </c>
      <c r="CK17">
        <v>6660</v>
      </c>
      <c r="CL17">
        <v>612</v>
      </c>
      <c r="CM17">
        <v>1102</v>
      </c>
      <c r="CN17">
        <v>1395</v>
      </c>
      <c r="CO17">
        <v>1703</v>
      </c>
      <c r="CP17">
        <v>1363</v>
      </c>
      <c r="CQ17">
        <v>2232</v>
      </c>
      <c r="CR17">
        <v>5918</v>
      </c>
      <c r="CS17">
        <v>17144</v>
      </c>
      <c r="CT17">
        <v>1919</v>
      </c>
      <c r="CU17">
        <v>754</v>
      </c>
      <c r="CV17">
        <v>186</v>
      </c>
      <c r="CW17">
        <v>593</v>
      </c>
      <c r="CX17">
        <v>58</v>
      </c>
      <c r="CY17">
        <v>5607</v>
      </c>
      <c r="CZ17">
        <v>1580</v>
      </c>
      <c r="DA17">
        <v>32</v>
      </c>
      <c r="DB17">
        <v>612</v>
      </c>
      <c r="DC17">
        <v>10</v>
      </c>
      <c r="DD17">
        <v>1460</v>
      </c>
      <c r="DE17">
        <v>2077</v>
      </c>
      <c r="DF17">
        <v>4261</v>
      </c>
      <c r="DG17">
        <v>15265</v>
      </c>
      <c r="DH17">
        <v>0</v>
      </c>
      <c r="DI17">
        <v>0</v>
      </c>
      <c r="DJ17">
        <v>14200</v>
      </c>
      <c r="DK17">
        <v>0</v>
      </c>
      <c r="DL17">
        <v>0</v>
      </c>
      <c r="DM17">
        <v>31</v>
      </c>
      <c r="DN17">
        <v>14</v>
      </c>
      <c r="DO17">
        <v>13</v>
      </c>
      <c r="DP17">
        <v>18</v>
      </c>
      <c r="DQ17">
        <v>0</v>
      </c>
      <c r="DR17">
        <v>0</v>
      </c>
      <c r="DS17">
        <v>1</v>
      </c>
      <c r="DT17">
        <v>0</v>
      </c>
      <c r="DU17">
        <v>0</v>
      </c>
      <c r="DV17">
        <v>572</v>
      </c>
      <c r="DW17">
        <v>670</v>
      </c>
      <c r="DX17">
        <v>907</v>
      </c>
      <c r="DY17">
        <v>1006</v>
      </c>
      <c r="DZ17">
        <v>434</v>
      </c>
      <c r="EA17">
        <v>438</v>
      </c>
      <c r="EB17">
        <v>273</v>
      </c>
      <c r="EC17">
        <v>262</v>
      </c>
      <c r="ED17">
        <v>215</v>
      </c>
      <c r="EE17">
        <v>238</v>
      </c>
      <c r="EF17">
        <v>267</v>
      </c>
      <c r="EG17">
        <v>316</v>
      </c>
      <c r="EH17">
        <v>159</v>
      </c>
      <c r="EI17">
        <v>131</v>
      </c>
      <c r="EJ17">
        <v>844</v>
      </c>
      <c r="EK17">
        <v>1394</v>
      </c>
      <c r="EL17">
        <v>606</v>
      </c>
      <c r="EM17">
        <v>356</v>
      </c>
      <c r="EN17">
        <v>270</v>
      </c>
      <c r="EO17">
        <v>390</v>
      </c>
      <c r="EP17">
        <v>201</v>
      </c>
      <c r="EQ17">
        <v>9111</v>
      </c>
      <c r="ER17">
        <v>8892</v>
      </c>
      <c r="ES17">
        <v>219</v>
      </c>
      <c r="ET17">
        <v>2449</v>
      </c>
      <c r="EU17">
        <v>5508</v>
      </c>
      <c r="EV17">
        <v>5448</v>
      </c>
      <c r="EW17">
        <v>60</v>
      </c>
      <c r="EX17">
        <v>6871</v>
      </c>
      <c r="EY17" s="26">
        <v>34.695200999999997</v>
      </c>
      <c r="EZ17" s="26">
        <v>16.120066999999999</v>
      </c>
      <c r="FA17" s="26">
        <v>17.871039</v>
      </c>
      <c r="FB17" s="26">
        <v>30.80415</v>
      </c>
      <c r="FC17" s="26">
        <v>0.50954200000000005</v>
      </c>
      <c r="FD17">
        <v>1534</v>
      </c>
      <c r="FE17">
        <v>4989</v>
      </c>
      <c r="FF17">
        <v>641</v>
      </c>
      <c r="FG17">
        <v>3611</v>
      </c>
      <c r="FH17">
        <v>5</v>
      </c>
      <c r="FI17">
        <v>2487</v>
      </c>
      <c r="FJ17">
        <v>1348</v>
      </c>
      <c r="FK17" s="26" t="s">
        <v>359</v>
      </c>
      <c r="FL17" s="26" t="s">
        <v>359</v>
      </c>
      <c r="FM17" s="26" t="s">
        <v>359</v>
      </c>
      <c r="FN17" s="26" t="s">
        <v>359</v>
      </c>
      <c r="FO17" s="28">
        <v>11660</v>
      </c>
      <c r="FP17" s="28">
        <v>5234</v>
      </c>
      <c r="FQ17">
        <v>1368</v>
      </c>
      <c r="FR17">
        <v>491</v>
      </c>
      <c r="FS17">
        <v>64</v>
      </c>
      <c r="FT17">
        <v>24</v>
      </c>
      <c r="FU17">
        <v>7717</v>
      </c>
      <c r="FV17">
        <v>75</v>
      </c>
      <c r="FW17">
        <v>40</v>
      </c>
      <c r="FX17">
        <v>1314</v>
      </c>
      <c r="FY17">
        <v>12501</v>
      </c>
      <c r="FZ17">
        <v>5240</v>
      </c>
      <c r="GA17">
        <v>1551</v>
      </c>
      <c r="GB17">
        <v>532</v>
      </c>
      <c r="GC17">
        <v>81</v>
      </c>
      <c r="GD17">
        <v>25</v>
      </c>
      <c r="GE17">
        <v>8202</v>
      </c>
      <c r="GF17">
        <v>74</v>
      </c>
      <c r="GG17">
        <v>39</v>
      </c>
      <c r="GH17">
        <v>1314</v>
      </c>
      <c r="GI17">
        <v>1347</v>
      </c>
      <c r="GJ17">
        <v>1580</v>
      </c>
      <c r="GK17">
        <v>1599</v>
      </c>
      <c r="GL17">
        <v>1315</v>
      </c>
      <c r="GM17">
        <v>929</v>
      </c>
      <c r="GN17">
        <v>835</v>
      </c>
      <c r="GO17">
        <v>792</v>
      </c>
      <c r="GP17">
        <v>739</v>
      </c>
      <c r="GQ17">
        <v>571</v>
      </c>
      <c r="GR17">
        <v>504</v>
      </c>
      <c r="GS17">
        <v>400</v>
      </c>
      <c r="GT17">
        <v>318</v>
      </c>
      <c r="GU17">
        <v>230</v>
      </c>
      <c r="GV17">
        <v>202</v>
      </c>
      <c r="GW17">
        <v>111</v>
      </c>
      <c r="GX17">
        <v>99</v>
      </c>
      <c r="GY17">
        <v>53</v>
      </c>
      <c r="GZ17">
        <v>36</v>
      </c>
      <c r="HA17">
        <v>1429</v>
      </c>
      <c r="HB17">
        <v>1592</v>
      </c>
      <c r="HC17">
        <v>1544</v>
      </c>
      <c r="HD17">
        <v>1222</v>
      </c>
      <c r="HE17">
        <v>1063</v>
      </c>
      <c r="HF17">
        <v>980</v>
      </c>
      <c r="HG17">
        <v>1008</v>
      </c>
      <c r="HH17">
        <v>845</v>
      </c>
      <c r="HI17">
        <v>689</v>
      </c>
      <c r="HJ17">
        <v>541</v>
      </c>
      <c r="HK17">
        <v>442</v>
      </c>
      <c r="HL17">
        <v>365</v>
      </c>
      <c r="HM17">
        <v>267</v>
      </c>
      <c r="HN17">
        <v>180</v>
      </c>
      <c r="HO17">
        <v>149</v>
      </c>
      <c r="HP17">
        <v>82</v>
      </c>
      <c r="HQ17">
        <v>58</v>
      </c>
      <c r="HR17">
        <v>45</v>
      </c>
      <c r="HS17">
        <v>6513</v>
      </c>
      <c r="HT17">
        <v>9</v>
      </c>
      <c r="HU17">
        <v>68</v>
      </c>
      <c r="HV17">
        <v>0</v>
      </c>
      <c r="HW17">
        <v>3</v>
      </c>
      <c r="HX17">
        <v>0</v>
      </c>
      <c r="HY17">
        <v>2</v>
      </c>
      <c r="HZ17">
        <v>612</v>
      </c>
      <c r="IA17">
        <v>610</v>
      </c>
      <c r="IB17">
        <v>1100</v>
      </c>
      <c r="IC17">
        <v>1395</v>
      </c>
      <c r="ID17">
        <v>1703</v>
      </c>
      <c r="IE17">
        <v>1362</v>
      </c>
      <c r="IF17">
        <v>909</v>
      </c>
      <c r="IG17">
        <v>586</v>
      </c>
      <c r="IH17">
        <v>326</v>
      </c>
      <c r="II17">
        <v>411</v>
      </c>
      <c r="IJ17">
        <v>1012</v>
      </c>
      <c r="IK17">
        <v>1932</v>
      </c>
      <c r="IL17">
        <v>2160</v>
      </c>
      <c r="IM17">
        <v>1631</v>
      </c>
      <c r="IN17">
        <v>637</v>
      </c>
      <c r="IO17">
        <v>291</v>
      </c>
      <c r="IP17">
        <v>78</v>
      </c>
      <c r="IQ17">
        <v>33</v>
      </c>
      <c r="IR17">
        <v>17</v>
      </c>
      <c r="IS17">
        <v>3393</v>
      </c>
      <c r="IT17">
        <v>2990</v>
      </c>
      <c r="IU17">
        <v>966</v>
      </c>
      <c r="IV17">
        <v>343</v>
      </c>
      <c r="IW17">
        <v>99</v>
      </c>
      <c r="IX17">
        <v>3013</v>
      </c>
      <c r="IY17">
        <v>2800</v>
      </c>
      <c r="IZ17">
        <v>62</v>
      </c>
      <c r="JA17">
        <v>35</v>
      </c>
      <c r="JB17">
        <v>133</v>
      </c>
      <c r="JC17">
        <v>437</v>
      </c>
      <c r="JD17">
        <v>7196</v>
      </c>
      <c r="JE17">
        <v>595</v>
      </c>
      <c r="JF17">
        <v>611</v>
      </c>
      <c r="JH17" s="28">
        <v>5968.2186235237978</v>
      </c>
      <c r="JI17" s="28">
        <v>348.08035861617196</v>
      </c>
      <c r="JJ17">
        <v>1234</v>
      </c>
      <c r="JK17">
        <v>5899</v>
      </c>
      <c r="JL17">
        <v>658</v>
      </c>
      <c r="JM17">
        <v>611</v>
      </c>
      <c r="JN17">
        <v>4145</v>
      </c>
      <c r="JO17">
        <v>1948</v>
      </c>
      <c r="JP17">
        <v>1104</v>
      </c>
      <c r="JQ17">
        <v>2954</v>
      </c>
      <c r="JR17">
        <v>5900</v>
      </c>
      <c r="JS17">
        <v>794</v>
      </c>
      <c r="JT17">
        <v>494</v>
      </c>
      <c r="JU17">
        <v>4920</v>
      </c>
      <c r="JV17">
        <v>1255</v>
      </c>
      <c r="JW17" s="28"/>
      <c r="JX17" s="28"/>
      <c r="JY17" s="28"/>
      <c r="JZ17" s="28"/>
      <c r="KA17" s="28">
        <v>8343.9999857599996</v>
      </c>
      <c r="KB17">
        <v>29294</v>
      </c>
      <c r="KC17">
        <v>22</v>
      </c>
      <c r="KD17">
        <v>248</v>
      </c>
      <c r="KE17">
        <v>0</v>
      </c>
      <c r="KF17">
        <v>8</v>
      </c>
      <c r="KG17">
        <v>0</v>
      </c>
      <c r="KH17">
        <v>3</v>
      </c>
      <c r="KI17">
        <v>2620</v>
      </c>
      <c r="KJ17">
        <v>5922</v>
      </c>
      <c r="KK17">
        <v>25745</v>
      </c>
      <c r="KL17">
        <v>2690</v>
      </c>
      <c r="KM17">
        <v>2616</v>
      </c>
      <c r="KT17">
        <v>5779</v>
      </c>
      <c r="KU17">
        <v>5662</v>
      </c>
      <c r="KV17">
        <v>4823</v>
      </c>
      <c r="KW17">
        <v>544</v>
      </c>
      <c r="KX17">
        <v>175</v>
      </c>
      <c r="KZ17">
        <v>4707</v>
      </c>
      <c r="LA17">
        <v>520</v>
      </c>
      <c r="LB17">
        <v>169</v>
      </c>
      <c r="LD17">
        <v>3043</v>
      </c>
      <c r="LE17">
        <v>3058</v>
      </c>
      <c r="LF17">
        <v>1045</v>
      </c>
      <c r="LG17">
        <v>1958</v>
      </c>
      <c r="LH17">
        <v>21522</v>
      </c>
      <c r="LI17">
        <v>25</v>
      </c>
      <c r="LJ17">
        <v>2003</v>
      </c>
      <c r="LK17">
        <v>431</v>
      </c>
      <c r="LL17">
        <v>2430</v>
      </c>
      <c r="LM17">
        <v>5</v>
      </c>
      <c r="LN17">
        <v>1533</v>
      </c>
      <c r="LO17">
        <v>581</v>
      </c>
      <c r="LP17">
        <v>24</v>
      </c>
      <c r="LQ17">
        <v>2181</v>
      </c>
      <c r="LR17">
        <v>385</v>
      </c>
      <c r="LS17">
        <v>2896</v>
      </c>
      <c r="LT17">
        <v>3</v>
      </c>
      <c r="LU17">
        <v>1321</v>
      </c>
      <c r="LV17">
        <v>492</v>
      </c>
      <c r="LW17" s="44"/>
      <c r="LX17" s="44"/>
      <c r="LY17" s="44"/>
      <c r="LZ17">
        <v>8402</v>
      </c>
      <c r="MA17">
        <v>36973</v>
      </c>
      <c r="MB17">
        <v>34997</v>
      </c>
      <c r="MC17">
        <v>17278</v>
      </c>
      <c r="MD17" s="26">
        <v>13.953163999999999</v>
      </c>
      <c r="ME17" s="26">
        <v>8.1006689999999999</v>
      </c>
      <c r="MF17" s="26">
        <v>48.620016999999997</v>
      </c>
      <c r="MG17" s="26">
        <v>28.108311</v>
      </c>
      <c r="MH17" s="26">
        <v>14.686978999999999</v>
      </c>
      <c r="MI17" s="26">
        <v>8.8074269999999988</v>
      </c>
      <c r="MJ17" s="26">
        <v>7.6648419999999993</v>
      </c>
      <c r="MK17" s="26">
        <v>7.0816469999999994</v>
      </c>
      <c r="ML17" s="26">
        <v>0.69031199999999993</v>
      </c>
      <c r="MM17" s="26">
        <v>76.815044</v>
      </c>
      <c r="MN17" s="26">
        <v>50.666508</v>
      </c>
      <c r="MO17" s="26">
        <v>0.68280799999999997</v>
      </c>
      <c r="MP17" t="s">
        <v>1029</v>
      </c>
      <c r="MQ17">
        <v>516</v>
      </c>
      <c r="MR17">
        <v>48</v>
      </c>
    </row>
    <row r="18" spans="1:356">
      <c r="A18" t="s">
        <v>67</v>
      </c>
      <c r="B18" t="s">
        <v>68</v>
      </c>
      <c r="C18">
        <v>39033</v>
      </c>
      <c r="D18">
        <v>43811</v>
      </c>
      <c r="E18">
        <v>50112</v>
      </c>
      <c r="F18">
        <f t="shared" si="0"/>
        <v>6301</v>
      </c>
      <c r="G18" s="26">
        <f t="shared" si="1"/>
        <v>14.382232772591365</v>
      </c>
      <c r="H18">
        <v>24427</v>
      </c>
      <c r="I18">
        <v>25685</v>
      </c>
      <c r="J18">
        <v>24504</v>
      </c>
      <c r="K18">
        <v>25608</v>
      </c>
      <c r="L18">
        <v>2565</v>
      </c>
      <c r="M18">
        <v>2702</v>
      </c>
      <c r="N18">
        <v>2657</v>
      </c>
      <c r="O18">
        <v>2297</v>
      </c>
      <c r="P18">
        <v>1976</v>
      </c>
      <c r="Q18">
        <v>1610</v>
      </c>
      <c r="R18">
        <v>1588</v>
      </c>
      <c r="S18">
        <v>1483</v>
      </c>
      <c r="T18">
        <v>1456</v>
      </c>
      <c r="U18">
        <v>1202</v>
      </c>
      <c r="V18">
        <v>1090</v>
      </c>
      <c r="W18">
        <v>968</v>
      </c>
      <c r="X18">
        <v>797</v>
      </c>
      <c r="Y18">
        <v>2036</v>
      </c>
      <c r="Z18">
        <v>0</v>
      </c>
      <c r="AA18">
        <v>2524</v>
      </c>
      <c r="AB18">
        <v>2599</v>
      </c>
      <c r="AC18">
        <v>2491</v>
      </c>
      <c r="AD18">
        <v>2466</v>
      </c>
      <c r="AE18">
        <v>2177</v>
      </c>
      <c r="AF18">
        <v>1913</v>
      </c>
      <c r="AG18">
        <v>1897</v>
      </c>
      <c r="AH18">
        <v>1709</v>
      </c>
      <c r="AI18">
        <v>1583</v>
      </c>
      <c r="AJ18">
        <v>1318</v>
      </c>
      <c r="AK18">
        <v>1206</v>
      </c>
      <c r="AL18">
        <v>982</v>
      </c>
      <c r="AM18">
        <v>867</v>
      </c>
      <c r="AN18">
        <v>1953</v>
      </c>
      <c r="AO18">
        <v>0</v>
      </c>
      <c r="AP18">
        <v>47300</v>
      </c>
      <c r="AQ18">
        <v>1205</v>
      </c>
      <c r="AR18">
        <v>111</v>
      </c>
      <c r="AS18">
        <v>1485</v>
      </c>
      <c r="AT18">
        <v>11</v>
      </c>
      <c r="AU18">
        <v>1314</v>
      </c>
      <c r="AV18">
        <v>728</v>
      </c>
      <c r="AW18">
        <v>586</v>
      </c>
      <c r="AX18">
        <v>702</v>
      </c>
      <c r="AY18">
        <v>788</v>
      </c>
      <c r="AZ18">
        <v>647</v>
      </c>
      <c r="BA18">
        <v>141</v>
      </c>
      <c r="BB18">
        <v>4</v>
      </c>
      <c r="BC18">
        <v>6</v>
      </c>
      <c r="BD18">
        <v>33</v>
      </c>
      <c r="BE18">
        <v>33</v>
      </c>
      <c r="BF18">
        <v>57</v>
      </c>
      <c r="BG18">
        <v>33</v>
      </c>
      <c r="BH18">
        <v>26</v>
      </c>
      <c r="BI18">
        <v>40</v>
      </c>
      <c r="BJ18">
        <v>31</v>
      </c>
      <c r="BK18">
        <v>30</v>
      </c>
      <c r="BL18">
        <v>28</v>
      </c>
      <c r="BM18">
        <v>31</v>
      </c>
      <c r="BN18">
        <v>34</v>
      </c>
      <c r="BO18">
        <v>37</v>
      </c>
      <c r="BP18">
        <v>45</v>
      </c>
      <c r="BQ18">
        <v>35</v>
      </c>
      <c r="BR18">
        <v>51</v>
      </c>
      <c r="BS18">
        <v>44</v>
      </c>
      <c r="BT18">
        <v>36</v>
      </c>
      <c r="BU18">
        <v>43</v>
      </c>
      <c r="BV18">
        <v>63</v>
      </c>
      <c r="BW18">
        <v>54</v>
      </c>
      <c r="BX18">
        <v>62</v>
      </c>
      <c r="BY18">
        <v>42</v>
      </c>
      <c r="BZ18">
        <v>57</v>
      </c>
      <c r="CA18">
        <v>33</v>
      </c>
      <c r="CB18">
        <v>201</v>
      </c>
      <c r="CC18">
        <v>125</v>
      </c>
      <c r="CD18">
        <v>721</v>
      </c>
      <c r="CE18">
        <v>577</v>
      </c>
      <c r="CF18">
        <v>6</v>
      </c>
      <c r="CG18">
        <v>6</v>
      </c>
      <c r="CH18">
        <v>8625</v>
      </c>
      <c r="CI18">
        <v>3519</v>
      </c>
      <c r="CJ18">
        <v>36866</v>
      </c>
      <c r="CK18">
        <v>13061</v>
      </c>
      <c r="CL18">
        <v>1208</v>
      </c>
      <c r="CM18">
        <v>1707</v>
      </c>
      <c r="CN18">
        <v>2142</v>
      </c>
      <c r="CO18">
        <v>2526</v>
      </c>
      <c r="CP18">
        <v>1919</v>
      </c>
      <c r="CQ18">
        <v>2642</v>
      </c>
      <c r="CR18">
        <v>7777</v>
      </c>
      <c r="CS18">
        <v>20916</v>
      </c>
      <c r="CT18">
        <v>5273</v>
      </c>
      <c r="CU18">
        <v>1433</v>
      </c>
      <c r="CV18">
        <v>535</v>
      </c>
      <c r="CW18">
        <v>1671</v>
      </c>
      <c r="CX18">
        <v>178</v>
      </c>
      <c r="CY18">
        <v>6929</v>
      </c>
      <c r="CZ18">
        <v>3872</v>
      </c>
      <c r="DA18">
        <v>111</v>
      </c>
      <c r="DB18">
        <v>1208</v>
      </c>
      <c r="DC18">
        <v>24</v>
      </c>
      <c r="DD18">
        <v>1334</v>
      </c>
      <c r="DE18">
        <v>3376</v>
      </c>
      <c r="DF18">
        <v>1985</v>
      </c>
      <c r="DG18">
        <v>18913</v>
      </c>
      <c r="DH18">
        <v>5396</v>
      </c>
      <c r="DI18">
        <v>0</v>
      </c>
      <c r="DJ18">
        <v>19108</v>
      </c>
      <c r="DK18">
        <v>0</v>
      </c>
      <c r="DL18">
        <v>0</v>
      </c>
      <c r="DM18">
        <v>60</v>
      </c>
      <c r="DN18">
        <v>20</v>
      </c>
      <c r="DO18">
        <v>6</v>
      </c>
      <c r="DP18">
        <v>17</v>
      </c>
      <c r="DQ18">
        <v>2</v>
      </c>
      <c r="DR18">
        <v>0</v>
      </c>
      <c r="DS18">
        <v>1</v>
      </c>
      <c r="DT18">
        <v>0</v>
      </c>
      <c r="DU18">
        <v>0</v>
      </c>
      <c r="DV18">
        <v>1019</v>
      </c>
      <c r="DW18">
        <v>1181</v>
      </c>
      <c r="DX18">
        <v>1533</v>
      </c>
      <c r="DY18">
        <v>1879</v>
      </c>
      <c r="DZ18">
        <v>805</v>
      </c>
      <c r="EA18">
        <v>706</v>
      </c>
      <c r="EB18">
        <v>457</v>
      </c>
      <c r="EC18">
        <v>331</v>
      </c>
      <c r="ED18">
        <v>306</v>
      </c>
      <c r="EE18">
        <v>334</v>
      </c>
      <c r="EF18">
        <v>537</v>
      </c>
      <c r="EG18">
        <v>575</v>
      </c>
      <c r="EH18">
        <v>357</v>
      </c>
      <c r="EI18">
        <v>290</v>
      </c>
      <c r="EJ18">
        <v>1457</v>
      </c>
      <c r="EK18">
        <v>2175</v>
      </c>
      <c r="EL18">
        <v>997</v>
      </c>
      <c r="EM18">
        <v>470</v>
      </c>
      <c r="EN18">
        <v>424</v>
      </c>
      <c r="EO18">
        <v>705</v>
      </c>
      <c r="EP18">
        <v>380</v>
      </c>
      <c r="EQ18">
        <v>13869</v>
      </c>
      <c r="ER18">
        <v>13526</v>
      </c>
      <c r="ES18">
        <v>343</v>
      </c>
      <c r="ET18">
        <v>4029</v>
      </c>
      <c r="EU18">
        <v>8475</v>
      </c>
      <c r="EV18">
        <v>8379</v>
      </c>
      <c r="EW18">
        <v>96</v>
      </c>
      <c r="EX18">
        <v>11108</v>
      </c>
      <c r="EY18" s="26">
        <v>23.972602999999999</v>
      </c>
      <c r="EZ18" s="26">
        <v>17.195385999999999</v>
      </c>
      <c r="FA18" s="26">
        <v>15.717376</v>
      </c>
      <c r="FB18" s="26">
        <v>42.148522</v>
      </c>
      <c r="FC18" s="26">
        <v>0.96611400000000003</v>
      </c>
      <c r="FD18">
        <v>1916</v>
      </c>
      <c r="FE18">
        <v>6217</v>
      </c>
      <c r="FF18">
        <v>769</v>
      </c>
      <c r="FG18">
        <v>5543</v>
      </c>
      <c r="FH18">
        <v>20</v>
      </c>
      <c r="FI18">
        <v>4549</v>
      </c>
      <c r="FJ18">
        <v>3320</v>
      </c>
      <c r="FK18" s="26" t="s">
        <v>359</v>
      </c>
      <c r="FL18" s="26" t="s">
        <v>359</v>
      </c>
      <c r="FM18" s="26" t="s">
        <v>359</v>
      </c>
      <c r="FN18" s="26" t="s">
        <v>359</v>
      </c>
      <c r="FO18" s="28">
        <v>13444</v>
      </c>
      <c r="FP18" s="28">
        <v>10980</v>
      </c>
      <c r="FQ18">
        <v>3601</v>
      </c>
      <c r="FR18">
        <v>1159</v>
      </c>
      <c r="FS18">
        <v>258</v>
      </c>
      <c r="FT18">
        <v>471</v>
      </c>
      <c r="FU18">
        <v>6955</v>
      </c>
      <c r="FV18">
        <v>103</v>
      </c>
      <c r="FW18">
        <v>251</v>
      </c>
      <c r="FX18">
        <v>3</v>
      </c>
      <c r="FY18">
        <v>15086</v>
      </c>
      <c r="FZ18">
        <v>10599</v>
      </c>
      <c r="GA18">
        <v>4028</v>
      </c>
      <c r="GB18">
        <v>1412</v>
      </c>
      <c r="GC18">
        <v>284</v>
      </c>
      <c r="GD18">
        <v>450</v>
      </c>
      <c r="GE18">
        <v>7943</v>
      </c>
      <c r="GF18">
        <v>83</v>
      </c>
      <c r="GG18">
        <v>246</v>
      </c>
      <c r="GH18">
        <v>0</v>
      </c>
      <c r="GI18">
        <v>1280</v>
      </c>
      <c r="GJ18">
        <v>1508</v>
      </c>
      <c r="GK18">
        <v>1620</v>
      </c>
      <c r="GL18">
        <v>1387</v>
      </c>
      <c r="GM18">
        <v>908</v>
      </c>
      <c r="GN18">
        <v>761</v>
      </c>
      <c r="GO18">
        <v>803</v>
      </c>
      <c r="GP18">
        <v>764</v>
      </c>
      <c r="GQ18">
        <v>785</v>
      </c>
      <c r="GR18">
        <v>664</v>
      </c>
      <c r="GS18">
        <v>583</v>
      </c>
      <c r="GT18">
        <v>529</v>
      </c>
      <c r="GU18">
        <v>467</v>
      </c>
      <c r="GV18">
        <v>431</v>
      </c>
      <c r="GW18">
        <v>321</v>
      </c>
      <c r="GX18">
        <v>264</v>
      </c>
      <c r="GY18">
        <v>192</v>
      </c>
      <c r="GZ18">
        <v>177</v>
      </c>
      <c r="HA18">
        <v>1216</v>
      </c>
      <c r="HB18">
        <v>1488</v>
      </c>
      <c r="HC18">
        <v>1448</v>
      </c>
      <c r="HD18">
        <v>1540</v>
      </c>
      <c r="HE18">
        <v>1158</v>
      </c>
      <c r="HF18">
        <v>1034</v>
      </c>
      <c r="HG18">
        <v>1076</v>
      </c>
      <c r="HH18">
        <v>1031</v>
      </c>
      <c r="HI18">
        <v>984</v>
      </c>
      <c r="HJ18">
        <v>797</v>
      </c>
      <c r="HK18">
        <v>738</v>
      </c>
      <c r="HL18">
        <v>619</v>
      </c>
      <c r="HM18">
        <v>556</v>
      </c>
      <c r="HN18">
        <v>409</v>
      </c>
      <c r="HO18">
        <v>349</v>
      </c>
      <c r="HP18">
        <v>270</v>
      </c>
      <c r="HQ18">
        <v>182</v>
      </c>
      <c r="HR18">
        <v>191</v>
      </c>
      <c r="HS18">
        <v>10567</v>
      </c>
      <c r="HT18">
        <v>0</v>
      </c>
      <c r="HU18">
        <v>107</v>
      </c>
      <c r="HV18">
        <v>0</v>
      </c>
      <c r="HW18">
        <v>11</v>
      </c>
      <c r="HX18">
        <v>0</v>
      </c>
      <c r="HY18">
        <v>6</v>
      </c>
      <c r="HZ18">
        <v>0</v>
      </c>
      <c r="IA18">
        <v>1203</v>
      </c>
      <c r="IB18">
        <v>1704</v>
      </c>
      <c r="IC18">
        <v>2140</v>
      </c>
      <c r="ID18">
        <v>2523</v>
      </c>
      <c r="IE18">
        <v>1918</v>
      </c>
      <c r="IF18">
        <v>1154</v>
      </c>
      <c r="IG18">
        <v>643</v>
      </c>
      <c r="IH18">
        <v>376</v>
      </c>
      <c r="II18">
        <v>466</v>
      </c>
      <c r="IJ18">
        <v>1827</v>
      </c>
      <c r="IK18">
        <v>2735</v>
      </c>
      <c r="IL18">
        <v>2866</v>
      </c>
      <c r="IM18">
        <v>2447</v>
      </c>
      <c r="IN18">
        <v>1348</v>
      </c>
      <c r="IO18">
        <v>585</v>
      </c>
      <c r="IP18">
        <v>183</v>
      </c>
      <c r="IQ18">
        <v>85</v>
      </c>
      <c r="IR18">
        <v>49</v>
      </c>
      <c r="IS18">
        <v>5193</v>
      </c>
      <c r="IT18">
        <v>4441</v>
      </c>
      <c r="IU18">
        <v>1873</v>
      </c>
      <c r="IV18">
        <v>512</v>
      </c>
      <c r="IW18">
        <v>107</v>
      </c>
      <c r="IX18">
        <v>9286</v>
      </c>
      <c r="IY18">
        <v>1488</v>
      </c>
      <c r="IZ18">
        <v>0</v>
      </c>
      <c r="JA18">
        <v>133</v>
      </c>
      <c r="JB18">
        <v>1</v>
      </c>
      <c r="JC18">
        <v>577</v>
      </c>
      <c r="JD18">
        <v>11820</v>
      </c>
      <c r="JE18">
        <v>306</v>
      </c>
      <c r="JF18">
        <v>1</v>
      </c>
      <c r="JH18" s="28">
        <v>9639.9493396055732</v>
      </c>
      <c r="JI18" s="28">
        <v>234.53048670164648</v>
      </c>
      <c r="JJ18">
        <v>842</v>
      </c>
      <c r="JK18">
        <v>9809</v>
      </c>
      <c r="JL18">
        <v>1475</v>
      </c>
      <c r="JM18">
        <v>1</v>
      </c>
      <c r="JN18">
        <v>8637</v>
      </c>
      <c r="JO18">
        <v>4877</v>
      </c>
      <c r="JP18">
        <v>2239</v>
      </c>
      <c r="JQ18">
        <v>7801</v>
      </c>
      <c r="JR18">
        <v>10209</v>
      </c>
      <c r="JS18">
        <v>1678</v>
      </c>
      <c r="JT18">
        <v>985</v>
      </c>
      <c r="JU18">
        <v>10182</v>
      </c>
      <c r="JV18">
        <v>2044</v>
      </c>
      <c r="JW18" s="28"/>
      <c r="JX18" s="28"/>
      <c r="JY18" s="28"/>
      <c r="JZ18" s="28"/>
      <c r="KA18" s="28">
        <v>12001.99997734</v>
      </c>
      <c r="KB18">
        <v>43767</v>
      </c>
      <c r="KC18">
        <v>0</v>
      </c>
      <c r="KD18">
        <v>321</v>
      </c>
      <c r="KE18">
        <v>0</v>
      </c>
      <c r="KF18">
        <v>36</v>
      </c>
      <c r="KG18">
        <v>0</v>
      </c>
      <c r="KH18">
        <v>18</v>
      </c>
      <c r="KI18">
        <v>0</v>
      </c>
      <c r="KJ18">
        <v>3780</v>
      </c>
      <c r="KK18">
        <v>40447</v>
      </c>
      <c r="KL18">
        <v>5644</v>
      </c>
      <c r="KM18">
        <v>2</v>
      </c>
      <c r="KT18">
        <v>7335</v>
      </c>
      <c r="KU18">
        <v>7284</v>
      </c>
      <c r="KV18">
        <v>5864</v>
      </c>
      <c r="KW18">
        <v>911</v>
      </c>
      <c r="KX18">
        <v>405</v>
      </c>
      <c r="KZ18">
        <v>5632</v>
      </c>
      <c r="LA18">
        <v>1051</v>
      </c>
      <c r="LB18">
        <v>463</v>
      </c>
      <c r="LD18">
        <v>4208</v>
      </c>
      <c r="LE18">
        <v>3992</v>
      </c>
      <c r="LF18">
        <v>1293</v>
      </c>
      <c r="LG18">
        <v>2126</v>
      </c>
      <c r="LH18">
        <v>34574</v>
      </c>
      <c r="LI18">
        <v>43</v>
      </c>
      <c r="LJ18">
        <v>2479</v>
      </c>
      <c r="LK18">
        <v>446</v>
      </c>
      <c r="LL18">
        <v>3860</v>
      </c>
      <c r="LM18">
        <v>9</v>
      </c>
      <c r="LN18">
        <v>2739</v>
      </c>
      <c r="LO18">
        <v>1413</v>
      </c>
      <c r="LP18">
        <v>24</v>
      </c>
      <c r="LQ18">
        <v>2414</v>
      </c>
      <c r="LR18">
        <v>428</v>
      </c>
      <c r="LS18">
        <v>4814</v>
      </c>
      <c r="LT18">
        <v>21</v>
      </c>
      <c r="LU18">
        <v>2806</v>
      </c>
      <c r="LV18">
        <v>1394</v>
      </c>
      <c r="LW18" s="44"/>
      <c r="LX18" s="44"/>
      <c r="LY18" s="44"/>
      <c r="LZ18">
        <v>12127</v>
      </c>
      <c r="MA18">
        <v>49873</v>
      </c>
      <c r="MB18">
        <v>45594</v>
      </c>
      <c r="MC18">
        <v>670</v>
      </c>
      <c r="MD18" s="26">
        <v>9.888933999999999</v>
      </c>
      <c r="ME18" s="26">
        <v>6.8969189999999996</v>
      </c>
      <c r="MF18" s="26">
        <v>39.564412999999995</v>
      </c>
      <c r="MG18" s="26">
        <v>43.061541999999996</v>
      </c>
      <c r="MH18" s="26">
        <v>6.9431849999999997</v>
      </c>
      <c r="MI18" s="26">
        <v>1.492537</v>
      </c>
      <c r="MJ18" s="26">
        <v>2.2841589999999998</v>
      </c>
      <c r="MK18" s="26">
        <v>2.5232950000000001</v>
      </c>
      <c r="ML18" s="26">
        <v>1.0307580000000001</v>
      </c>
      <c r="MM18" s="26">
        <v>59.783952999999997</v>
      </c>
      <c r="MN18" s="26">
        <v>28.778758</v>
      </c>
      <c r="MO18" s="26">
        <v>-0.222215</v>
      </c>
      <c r="MP18" t="s">
        <v>1027</v>
      </c>
      <c r="MQ18">
        <v>1245</v>
      </c>
      <c r="MR18">
        <v>112</v>
      </c>
    </row>
    <row r="19" spans="1:356">
      <c r="A19" t="s">
        <v>275</v>
      </c>
      <c r="B19" t="s">
        <v>276</v>
      </c>
      <c r="C19" t="s">
        <v>393</v>
      </c>
      <c r="D19" t="s">
        <v>359</v>
      </c>
      <c r="E19">
        <v>4315</v>
      </c>
      <c r="F19" t="s">
        <v>359</v>
      </c>
      <c r="G19" s="26" t="s">
        <v>359</v>
      </c>
      <c r="H19">
        <v>2274</v>
      </c>
      <c r="I19">
        <v>2041</v>
      </c>
      <c r="J19">
        <v>0</v>
      </c>
      <c r="K19">
        <v>4315</v>
      </c>
      <c r="L19">
        <v>237</v>
      </c>
      <c r="M19">
        <v>266</v>
      </c>
      <c r="N19">
        <v>274</v>
      </c>
      <c r="O19">
        <v>250</v>
      </c>
      <c r="P19">
        <v>228</v>
      </c>
      <c r="Q19">
        <v>185</v>
      </c>
      <c r="R19">
        <v>162</v>
      </c>
      <c r="S19">
        <v>125</v>
      </c>
      <c r="T19">
        <v>117</v>
      </c>
      <c r="U19">
        <v>89</v>
      </c>
      <c r="V19">
        <v>92</v>
      </c>
      <c r="W19">
        <v>72</v>
      </c>
      <c r="X19">
        <v>55</v>
      </c>
      <c r="Y19">
        <v>122</v>
      </c>
      <c r="Z19">
        <v>0</v>
      </c>
      <c r="AA19">
        <v>227</v>
      </c>
      <c r="AB19">
        <v>274</v>
      </c>
      <c r="AC19">
        <v>236</v>
      </c>
      <c r="AD19">
        <v>245</v>
      </c>
      <c r="AE19">
        <v>178</v>
      </c>
      <c r="AF19">
        <v>173</v>
      </c>
      <c r="AG19">
        <v>139</v>
      </c>
      <c r="AH19">
        <v>120</v>
      </c>
      <c r="AI19">
        <v>106</v>
      </c>
      <c r="AJ19">
        <v>85</v>
      </c>
      <c r="AK19">
        <v>76</v>
      </c>
      <c r="AL19">
        <v>43</v>
      </c>
      <c r="AM19">
        <v>44</v>
      </c>
      <c r="AN19">
        <v>95</v>
      </c>
      <c r="AO19">
        <v>0</v>
      </c>
      <c r="AP19">
        <v>4290</v>
      </c>
      <c r="AQ19">
        <v>11</v>
      </c>
      <c r="AR19">
        <v>1</v>
      </c>
      <c r="AS19">
        <v>13</v>
      </c>
      <c r="AT19">
        <v>0</v>
      </c>
      <c r="AU19">
        <v>12</v>
      </c>
      <c r="AV19">
        <v>7</v>
      </c>
      <c r="AW19">
        <v>5</v>
      </c>
      <c r="AX19" t="s">
        <v>393</v>
      </c>
      <c r="AY19" t="s">
        <v>393</v>
      </c>
      <c r="AZ19" t="s">
        <v>393</v>
      </c>
      <c r="BA19" t="s">
        <v>393</v>
      </c>
      <c r="BB19">
        <v>0</v>
      </c>
      <c r="BC19">
        <v>0</v>
      </c>
      <c r="BD19">
        <v>1</v>
      </c>
      <c r="BE19">
        <v>0</v>
      </c>
      <c r="BF19">
        <v>0</v>
      </c>
      <c r="BG19">
        <v>0</v>
      </c>
      <c r="BH19">
        <v>0</v>
      </c>
      <c r="BI19">
        <v>0</v>
      </c>
      <c r="BJ19">
        <v>0</v>
      </c>
      <c r="BK19">
        <v>0</v>
      </c>
      <c r="BL19">
        <v>1</v>
      </c>
      <c r="BM19">
        <v>2</v>
      </c>
      <c r="BN19">
        <v>0</v>
      </c>
      <c r="BO19">
        <v>2</v>
      </c>
      <c r="BP19">
        <v>0</v>
      </c>
      <c r="BQ19">
        <v>1</v>
      </c>
      <c r="BR19">
        <v>2</v>
      </c>
      <c r="BS19">
        <v>0</v>
      </c>
      <c r="BT19">
        <v>0</v>
      </c>
      <c r="BU19">
        <v>0</v>
      </c>
      <c r="BV19">
        <v>1</v>
      </c>
      <c r="BW19">
        <v>0</v>
      </c>
      <c r="BX19">
        <v>1</v>
      </c>
      <c r="BY19">
        <v>0</v>
      </c>
      <c r="BZ19">
        <v>0</v>
      </c>
      <c r="CA19">
        <v>0</v>
      </c>
      <c r="CB19">
        <v>1</v>
      </c>
      <c r="CC19">
        <v>0</v>
      </c>
      <c r="CD19">
        <v>7</v>
      </c>
      <c r="CE19">
        <v>5</v>
      </c>
      <c r="CF19">
        <v>0</v>
      </c>
      <c r="CG19">
        <v>0</v>
      </c>
      <c r="CH19">
        <v>722</v>
      </c>
      <c r="CI19">
        <v>83</v>
      </c>
      <c r="CJ19">
        <v>3957</v>
      </c>
      <c r="CK19">
        <v>358</v>
      </c>
      <c r="CL19">
        <v>43</v>
      </c>
      <c r="CM19">
        <v>48</v>
      </c>
      <c r="CN19">
        <v>84</v>
      </c>
      <c r="CO19">
        <v>139</v>
      </c>
      <c r="CP19">
        <v>139</v>
      </c>
      <c r="CQ19">
        <v>352</v>
      </c>
      <c r="CR19">
        <v>654</v>
      </c>
      <c r="CS19">
        <v>2198</v>
      </c>
      <c r="CT19">
        <v>311</v>
      </c>
      <c r="CU19">
        <v>145</v>
      </c>
      <c r="CV19">
        <v>80</v>
      </c>
      <c r="CW19">
        <v>121</v>
      </c>
      <c r="CX19">
        <v>1</v>
      </c>
      <c r="CY19">
        <v>457</v>
      </c>
      <c r="CZ19">
        <v>304</v>
      </c>
      <c r="DA19">
        <v>1</v>
      </c>
      <c r="DB19">
        <v>43</v>
      </c>
      <c r="DC19">
        <v>0</v>
      </c>
      <c r="DD19">
        <v>561</v>
      </c>
      <c r="DE19">
        <v>1535</v>
      </c>
      <c r="DF19">
        <v>1581</v>
      </c>
      <c r="DG19">
        <v>638</v>
      </c>
      <c r="DH19">
        <v>0</v>
      </c>
      <c r="DI19">
        <v>0</v>
      </c>
      <c r="DJ19">
        <v>0</v>
      </c>
      <c r="DK19">
        <v>0</v>
      </c>
      <c r="DL19">
        <v>0</v>
      </c>
      <c r="DM19">
        <v>29</v>
      </c>
      <c r="DN19">
        <v>8</v>
      </c>
      <c r="DO19">
        <v>5</v>
      </c>
      <c r="DP19">
        <v>1</v>
      </c>
      <c r="DQ19">
        <v>0</v>
      </c>
      <c r="DR19">
        <v>0</v>
      </c>
      <c r="DS19">
        <v>0</v>
      </c>
      <c r="DT19">
        <v>0</v>
      </c>
      <c r="DU19">
        <v>0</v>
      </c>
      <c r="DV19">
        <v>75</v>
      </c>
      <c r="DW19">
        <v>70</v>
      </c>
      <c r="DX19">
        <v>118</v>
      </c>
      <c r="DY19">
        <v>94</v>
      </c>
      <c r="DZ19">
        <v>54</v>
      </c>
      <c r="EA19">
        <v>49</v>
      </c>
      <c r="EB19">
        <v>33</v>
      </c>
      <c r="EC19">
        <v>24</v>
      </c>
      <c r="ED19">
        <v>27</v>
      </c>
      <c r="EE19">
        <v>21</v>
      </c>
      <c r="EF19">
        <v>42</v>
      </c>
      <c r="EG19">
        <v>46</v>
      </c>
      <c r="EH19">
        <v>9</v>
      </c>
      <c r="EI19">
        <v>6</v>
      </c>
      <c r="EJ19">
        <v>120</v>
      </c>
      <c r="EK19">
        <v>182</v>
      </c>
      <c r="EL19">
        <v>90</v>
      </c>
      <c r="EM19">
        <v>45</v>
      </c>
      <c r="EN19">
        <v>33</v>
      </c>
      <c r="EO19">
        <v>68</v>
      </c>
      <c r="EP19">
        <v>13</v>
      </c>
      <c r="EQ19">
        <v>1300</v>
      </c>
      <c r="ER19">
        <v>1297</v>
      </c>
      <c r="ES19">
        <v>3</v>
      </c>
      <c r="ET19">
        <v>361</v>
      </c>
      <c r="EU19">
        <v>216</v>
      </c>
      <c r="EV19">
        <v>216</v>
      </c>
      <c r="EW19">
        <v>0</v>
      </c>
      <c r="EX19">
        <v>1217</v>
      </c>
      <c r="EY19" s="26">
        <v>92.465300999999997</v>
      </c>
      <c r="EZ19" s="26">
        <v>2.1150029999999997</v>
      </c>
      <c r="FA19" s="26">
        <v>2.3793790000000001</v>
      </c>
      <c r="FB19" s="26">
        <v>3.0403169999999999</v>
      </c>
      <c r="FC19" s="26">
        <v>0</v>
      </c>
      <c r="FD19">
        <v>115</v>
      </c>
      <c r="FE19">
        <v>762</v>
      </c>
      <c r="FF19">
        <v>59</v>
      </c>
      <c r="FG19">
        <v>317</v>
      </c>
      <c r="FH19">
        <v>0</v>
      </c>
      <c r="FI19">
        <v>222</v>
      </c>
      <c r="FJ19">
        <v>39</v>
      </c>
      <c r="FK19" s="26" t="s">
        <v>359</v>
      </c>
      <c r="FL19" s="26" t="s">
        <v>359</v>
      </c>
      <c r="FM19" s="26" t="s">
        <v>359</v>
      </c>
      <c r="FN19" s="26" t="s">
        <v>359</v>
      </c>
      <c r="FO19" s="28">
        <v>2044</v>
      </c>
      <c r="FP19" s="28">
        <v>230</v>
      </c>
      <c r="FQ19">
        <v>6</v>
      </c>
      <c r="FR19">
        <v>2</v>
      </c>
      <c r="FS19">
        <v>0</v>
      </c>
      <c r="FT19">
        <v>0</v>
      </c>
      <c r="FU19">
        <v>2026</v>
      </c>
      <c r="FV19">
        <v>0</v>
      </c>
      <c r="FW19">
        <v>1</v>
      </c>
      <c r="FX19">
        <v>0</v>
      </c>
      <c r="FY19">
        <v>1884</v>
      </c>
      <c r="FZ19">
        <v>157</v>
      </c>
      <c r="GA19">
        <v>6</v>
      </c>
      <c r="GB19">
        <v>7</v>
      </c>
      <c r="GC19">
        <v>0</v>
      </c>
      <c r="GD19">
        <v>0</v>
      </c>
      <c r="GE19">
        <v>1873</v>
      </c>
      <c r="GF19">
        <v>0</v>
      </c>
      <c r="GG19">
        <v>0</v>
      </c>
      <c r="GH19">
        <v>0</v>
      </c>
      <c r="GI19">
        <v>174</v>
      </c>
      <c r="GJ19">
        <v>240</v>
      </c>
      <c r="GK19">
        <v>261</v>
      </c>
      <c r="GL19">
        <v>233</v>
      </c>
      <c r="GM19">
        <v>207</v>
      </c>
      <c r="GN19">
        <v>172</v>
      </c>
      <c r="GO19">
        <v>153</v>
      </c>
      <c r="GP19">
        <v>115</v>
      </c>
      <c r="GQ19">
        <v>105</v>
      </c>
      <c r="GR19">
        <v>82</v>
      </c>
      <c r="GS19">
        <v>87</v>
      </c>
      <c r="GT19">
        <v>58</v>
      </c>
      <c r="GU19">
        <v>47</v>
      </c>
      <c r="GV19">
        <v>36</v>
      </c>
      <c r="GW19">
        <v>30</v>
      </c>
      <c r="GX19">
        <v>21</v>
      </c>
      <c r="GY19">
        <v>14</v>
      </c>
      <c r="GZ19">
        <v>9</v>
      </c>
      <c r="HA19">
        <v>163</v>
      </c>
      <c r="HB19">
        <v>257</v>
      </c>
      <c r="HC19">
        <v>223</v>
      </c>
      <c r="HD19">
        <v>229</v>
      </c>
      <c r="HE19">
        <v>164</v>
      </c>
      <c r="HF19">
        <v>168</v>
      </c>
      <c r="HG19">
        <v>130</v>
      </c>
      <c r="HH19">
        <v>116</v>
      </c>
      <c r="HI19">
        <v>103</v>
      </c>
      <c r="HJ19">
        <v>81</v>
      </c>
      <c r="HK19">
        <v>74</v>
      </c>
      <c r="HL19">
        <v>41</v>
      </c>
      <c r="HM19">
        <v>44</v>
      </c>
      <c r="HN19">
        <v>45</v>
      </c>
      <c r="HO19">
        <v>20</v>
      </c>
      <c r="HP19">
        <v>16</v>
      </c>
      <c r="HQ19">
        <v>6</v>
      </c>
      <c r="HR19">
        <v>4</v>
      </c>
      <c r="HS19">
        <v>729</v>
      </c>
      <c r="HT19">
        <v>0</v>
      </c>
      <c r="HU19">
        <v>0</v>
      </c>
      <c r="HV19">
        <v>0</v>
      </c>
      <c r="HW19">
        <v>1</v>
      </c>
      <c r="HX19">
        <v>0</v>
      </c>
      <c r="HY19">
        <v>1</v>
      </c>
      <c r="HZ19">
        <v>0</v>
      </c>
      <c r="IA19">
        <v>41</v>
      </c>
      <c r="IB19">
        <v>48</v>
      </c>
      <c r="IC19">
        <v>84</v>
      </c>
      <c r="ID19">
        <v>139</v>
      </c>
      <c r="IE19">
        <v>139</v>
      </c>
      <c r="IF19">
        <v>115</v>
      </c>
      <c r="IG19">
        <v>101</v>
      </c>
      <c r="IH19">
        <v>48</v>
      </c>
      <c r="II19">
        <v>88</v>
      </c>
      <c r="IJ19">
        <v>29</v>
      </c>
      <c r="IK19">
        <v>164</v>
      </c>
      <c r="IL19">
        <v>226</v>
      </c>
      <c r="IM19">
        <v>184</v>
      </c>
      <c r="IN19">
        <v>108</v>
      </c>
      <c r="IO19">
        <v>54</v>
      </c>
      <c r="IP19">
        <v>30</v>
      </c>
      <c r="IQ19">
        <v>5</v>
      </c>
      <c r="IR19">
        <v>3</v>
      </c>
      <c r="IS19">
        <v>217</v>
      </c>
      <c r="IT19">
        <v>309</v>
      </c>
      <c r="IU19">
        <v>179</v>
      </c>
      <c r="IV19">
        <v>71</v>
      </c>
      <c r="IW19">
        <v>27</v>
      </c>
      <c r="IX19">
        <v>105</v>
      </c>
      <c r="IY19">
        <v>330</v>
      </c>
      <c r="IZ19">
        <v>0</v>
      </c>
      <c r="JA19">
        <v>7</v>
      </c>
      <c r="JB19">
        <v>0</v>
      </c>
      <c r="JC19">
        <v>248</v>
      </c>
      <c r="JD19">
        <v>749</v>
      </c>
      <c r="JE19">
        <v>54</v>
      </c>
      <c r="JF19">
        <v>0</v>
      </c>
      <c r="JH19" s="28">
        <v>0</v>
      </c>
      <c r="JI19" s="28">
        <v>0</v>
      </c>
      <c r="JJ19">
        <v>225</v>
      </c>
      <c r="JK19">
        <v>563</v>
      </c>
      <c r="JL19">
        <v>15</v>
      </c>
      <c r="JM19">
        <v>0</v>
      </c>
      <c r="JN19">
        <v>335</v>
      </c>
      <c r="JO19">
        <v>262</v>
      </c>
      <c r="JP19">
        <v>204</v>
      </c>
      <c r="JQ19">
        <v>482</v>
      </c>
      <c r="JR19">
        <v>454</v>
      </c>
      <c r="JS19">
        <v>16</v>
      </c>
      <c r="JT19">
        <v>9</v>
      </c>
      <c r="JU19">
        <v>345</v>
      </c>
      <c r="JV19">
        <v>72</v>
      </c>
      <c r="JW19" s="28"/>
      <c r="JX19" s="28"/>
      <c r="JY19" s="28"/>
      <c r="JZ19" s="28"/>
      <c r="KA19" s="28">
        <v>784.00000019000004</v>
      </c>
      <c r="KB19">
        <v>3980</v>
      </c>
      <c r="KC19">
        <v>0</v>
      </c>
      <c r="KD19">
        <v>0</v>
      </c>
      <c r="KE19">
        <v>0</v>
      </c>
      <c r="KF19">
        <v>1</v>
      </c>
      <c r="KG19">
        <v>0</v>
      </c>
      <c r="KH19">
        <v>1</v>
      </c>
      <c r="KI19">
        <v>0</v>
      </c>
      <c r="KJ19">
        <v>1127</v>
      </c>
      <c r="KK19">
        <v>3137</v>
      </c>
      <c r="KL19">
        <v>49</v>
      </c>
      <c r="KM19">
        <v>0</v>
      </c>
      <c r="KT19">
        <v>679</v>
      </c>
      <c r="KU19">
        <v>639</v>
      </c>
      <c r="KV19">
        <v>570</v>
      </c>
      <c r="KW19">
        <v>70</v>
      </c>
      <c r="KX19">
        <v>11</v>
      </c>
      <c r="KZ19">
        <v>548</v>
      </c>
      <c r="LA19">
        <v>51</v>
      </c>
      <c r="LB19">
        <v>3</v>
      </c>
      <c r="LD19">
        <v>380</v>
      </c>
      <c r="LE19">
        <v>361</v>
      </c>
      <c r="LF19">
        <v>156</v>
      </c>
      <c r="LG19">
        <v>268</v>
      </c>
      <c r="LH19">
        <v>2801</v>
      </c>
      <c r="LI19">
        <v>3</v>
      </c>
      <c r="LJ19">
        <v>336</v>
      </c>
      <c r="LK19">
        <v>58</v>
      </c>
      <c r="LL19">
        <v>307</v>
      </c>
      <c r="LM19">
        <v>0</v>
      </c>
      <c r="LN19">
        <v>188</v>
      </c>
      <c r="LO19">
        <v>27</v>
      </c>
      <c r="LP19">
        <v>2</v>
      </c>
      <c r="LQ19">
        <v>295</v>
      </c>
      <c r="LR19">
        <v>48</v>
      </c>
      <c r="LS19">
        <v>232</v>
      </c>
      <c r="LT19">
        <v>0</v>
      </c>
      <c r="LU19">
        <v>159</v>
      </c>
      <c r="LV19">
        <v>14</v>
      </c>
      <c r="LW19" s="44"/>
      <c r="LX19" s="44"/>
      <c r="LY19" s="44"/>
      <c r="LZ19">
        <v>803</v>
      </c>
      <c r="MA19">
        <v>4313</v>
      </c>
      <c r="MB19" t="s">
        <v>359</v>
      </c>
      <c r="MC19" t="s">
        <v>359</v>
      </c>
      <c r="MD19" s="26">
        <v>15.137450999999999</v>
      </c>
      <c r="ME19" s="26">
        <v>7.3529409999999995</v>
      </c>
      <c r="MF19" s="26">
        <v>60.978221999999995</v>
      </c>
      <c r="MG19" s="26">
        <v>8.9687140000000003</v>
      </c>
      <c r="MH19" s="26">
        <v>28.019924999999997</v>
      </c>
      <c r="MI19" s="26">
        <v>5.3549189999999998</v>
      </c>
      <c r="MJ19" s="26">
        <v>4.9813200000000002</v>
      </c>
      <c r="MK19" s="26">
        <v>6.7247819999999994</v>
      </c>
      <c r="ML19" s="26">
        <v>2.3661270000000001</v>
      </c>
      <c r="MM19" s="26">
        <v>67.372354000000001</v>
      </c>
      <c r="MN19" s="26">
        <v>58.281444999999998</v>
      </c>
      <c r="MO19" s="26">
        <v>1.1362829999999999</v>
      </c>
      <c r="MP19" t="s">
        <v>1028</v>
      </c>
      <c r="MQ19">
        <v>324</v>
      </c>
      <c r="MR19">
        <v>35</v>
      </c>
    </row>
    <row r="20" spans="1:356">
      <c r="A20" t="s">
        <v>69</v>
      </c>
      <c r="B20" t="s">
        <v>70</v>
      </c>
      <c r="C20">
        <v>15709</v>
      </c>
      <c r="D20">
        <v>17140</v>
      </c>
      <c r="E20">
        <v>17619</v>
      </c>
      <c r="F20">
        <f t="shared" si="0"/>
        <v>479</v>
      </c>
      <c r="G20" s="26">
        <f t="shared" si="1"/>
        <v>2.7946324387397823</v>
      </c>
      <c r="H20">
        <v>8882</v>
      </c>
      <c r="I20">
        <v>8737</v>
      </c>
      <c r="J20">
        <v>3344</v>
      </c>
      <c r="K20">
        <v>14275</v>
      </c>
      <c r="L20">
        <v>724</v>
      </c>
      <c r="M20">
        <v>809</v>
      </c>
      <c r="N20">
        <v>764</v>
      </c>
      <c r="O20">
        <v>675</v>
      </c>
      <c r="P20">
        <v>598</v>
      </c>
      <c r="Q20">
        <v>605</v>
      </c>
      <c r="R20">
        <v>599</v>
      </c>
      <c r="S20">
        <v>607</v>
      </c>
      <c r="T20">
        <v>559</v>
      </c>
      <c r="U20">
        <v>569</v>
      </c>
      <c r="V20">
        <v>504</v>
      </c>
      <c r="W20">
        <v>443</v>
      </c>
      <c r="X20">
        <v>364</v>
      </c>
      <c r="Y20">
        <v>1062</v>
      </c>
      <c r="Z20">
        <v>0</v>
      </c>
      <c r="AA20">
        <v>777</v>
      </c>
      <c r="AB20">
        <v>737</v>
      </c>
      <c r="AC20">
        <v>766</v>
      </c>
      <c r="AD20">
        <v>666</v>
      </c>
      <c r="AE20">
        <v>591</v>
      </c>
      <c r="AF20">
        <v>601</v>
      </c>
      <c r="AG20">
        <v>636</v>
      </c>
      <c r="AH20">
        <v>617</v>
      </c>
      <c r="AI20">
        <v>568</v>
      </c>
      <c r="AJ20">
        <v>551</v>
      </c>
      <c r="AK20">
        <v>486</v>
      </c>
      <c r="AL20">
        <v>429</v>
      </c>
      <c r="AM20">
        <v>405</v>
      </c>
      <c r="AN20">
        <v>907</v>
      </c>
      <c r="AO20">
        <v>0</v>
      </c>
      <c r="AP20">
        <v>15430</v>
      </c>
      <c r="AQ20">
        <v>2168</v>
      </c>
      <c r="AR20">
        <v>0</v>
      </c>
      <c r="AS20">
        <v>17</v>
      </c>
      <c r="AT20">
        <v>4</v>
      </c>
      <c r="AU20">
        <v>464</v>
      </c>
      <c r="AV20">
        <v>253</v>
      </c>
      <c r="AW20">
        <v>211</v>
      </c>
      <c r="AX20">
        <v>282</v>
      </c>
      <c r="AY20">
        <v>451</v>
      </c>
      <c r="AZ20">
        <v>394</v>
      </c>
      <c r="BA20">
        <v>57</v>
      </c>
      <c r="BB20">
        <v>3</v>
      </c>
      <c r="BC20">
        <v>1</v>
      </c>
      <c r="BD20">
        <v>10</v>
      </c>
      <c r="BE20">
        <v>13</v>
      </c>
      <c r="BF20">
        <v>18</v>
      </c>
      <c r="BG20">
        <v>23</v>
      </c>
      <c r="BH20">
        <v>25</v>
      </c>
      <c r="BI20">
        <v>18</v>
      </c>
      <c r="BJ20">
        <v>23</v>
      </c>
      <c r="BK20">
        <v>23</v>
      </c>
      <c r="BL20">
        <v>24</v>
      </c>
      <c r="BM20">
        <v>19</v>
      </c>
      <c r="BN20">
        <v>28</v>
      </c>
      <c r="BO20">
        <v>24</v>
      </c>
      <c r="BP20">
        <v>17</v>
      </c>
      <c r="BQ20">
        <v>22</v>
      </c>
      <c r="BR20">
        <v>21</v>
      </c>
      <c r="BS20">
        <v>16</v>
      </c>
      <c r="BT20">
        <v>16</v>
      </c>
      <c r="BU20">
        <v>16</v>
      </c>
      <c r="BV20">
        <v>25</v>
      </c>
      <c r="BW20">
        <v>12</v>
      </c>
      <c r="BX20">
        <v>12</v>
      </c>
      <c r="BY20">
        <v>5</v>
      </c>
      <c r="BZ20">
        <v>3</v>
      </c>
      <c r="CA20">
        <v>4</v>
      </c>
      <c r="CB20">
        <v>28</v>
      </c>
      <c r="CC20">
        <v>15</v>
      </c>
      <c r="CD20">
        <v>246</v>
      </c>
      <c r="CE20">
        <v>196</v>
      </c>
      <c r="CF20">
        <v>7</v>
      </c>
      <c r="CG20">
        <v>15</v>
      </c>
      <c r="CH20">
        <v>3394</v>
      </c>
      <c r="CI20">
        <v>1391</v>
      </c>
      <c r="CJ20">
        <v>12787</v>
      </c>
      <c r="CK20">
        <v>4683</v>
      </c>
      <c r="CL20">
        <v>511</v>
      </c>
      <c r="CM20">
        <v>993</v>
      </c>
      <c r="CN20">
        <v>973</v>
      </c>
      <c r="CO20">
        <v>955</v>
      </c>
      <c r="CP20">
        <v>649</v>
      </c>
      <c r="CQ20">
        <v>704</v>
      </c>
      <c r="CR20">
        <v>3348</v>
      </c>
      <c r="CS20">
        <v>6242</v>
      </c>
      <c r="CT20">
        <v>1800</v>
      </c>
      <c r="CU20">
        <v>570</v>
      </c>
      <c r="CV20">
        <v>181</v>
      </c>
      <c r="CW20">
        <v>485</v>
      </c>
      <c r="CX20">
        <v>59</v>
      </c>
      <c r="CY20">
        <v>2868</v>
      </c>
      <c r="CZ20">
        <v>1362</v>
      </c>
      <c r="DA20">
        <v>38</v>
      </c>
      <c r="DB20">
        <v>511</v>
      </c>
      <c r="DC20">
        <v>6</v>
      </c>
      <c r="DD20">
        <v>1758</v>
      </c>
      <c r="DE20">
        <v>3069</v>
      </c>
      <c r="DF20">
        <v>2947</v>
      </c>
      <c r="DG20">
        <v>6501</v>
      </c>
      <c r="DH20">
        <v>3344</v>
      </c>
      <c r="DI20">
        <v>0</v>
      </c>
      <c r="DJ20">
        <v>0</v>
      </c>
      <c r="DK20">
        <v>0</v>
      </c>
      <c r="DL20">
        <v>0</v>
      </c>
      <c r="DM20">
        <v>146</v>
      </c>
      <c r="DN20">
        <v>21</v>
      </c>
      <c r="DO20">
        <v>8</v>
      </c>
      <c r="DP20">
        <v>8</v>
      </c>
      <c r="DQ20">
        <v>1</v>
      </c>
      <c r="DR20">
        <v>0</v>
      </c>
      <c r="DS20">
        <v>0</v>
      </c>
      <c r="DT20">
        <v>0</v>
      </c>
      <c r="DU20">
        <v>0</v>
      </c>
      <c r="DV20">
        <v>638</v>
      </c>
      <c r="DW20">
        <v>705</v>
      </c>
      <c r="DX20">
        <v>970</v>
      </c>
      <c r="DY20">
        <v>1066</v>
      </c>
      <c r="DZ20">
        <v>393</v>
      </c>
      <c r="EA20">
        <v>320</v>
      </c>
      <c r="EB20">
        <v>207</v>
      </c>
      <c r="EC20">
        <v>152</v>
      </c>
      <c r="ED20">
        <v>186</v>
      </c>
      <c r="EE20">
        <v>184</v>
      </c>
      <c r="EF20">
        <v>223</v>
      </c>
      <c r="EG20">
        <v>266</v>
      </c>
      <c r="EH20">
        <v>99</v>
      </c>
      <c r="EI20">
        <v>86</v>
      </c>
      <c r="EJ20">
        <v>829</v>
      </c>
      <c r="EK20">
        <v>1235</v>
      </c>
      <c r="EL20">
        <v>414</v>
      </c>
      <c r="EM20">
        <v>181</v>
      </c>
      <c r="EN20">
        <v>205</v>
      </c>
      <c r="EO20">
        <v>273</v>
      </c>
      <c r="EP20">
        <v>108</v>
      </c>
      <c r="EQ20">
        <v>5313</v>
      </c>
      <c r="ER20">
        <v>5236</v>
      </c>
      <c r="ES20">
        <v>77</v>
      </c>
      <c r="ET20">
        <v>1602</v>
      </c>
      <c r="EU20">
        <v>2337</v>
      </c>
      <c r="EV20">
        <v>2323</v>
      </c>
      <c r="EW20">
        <v>14</v>
      </c>
      <c r="EX20">
        <v>4538</v>
      </c>
      <c r="EY20" s="26">
        <v>58.348103999999999</v>
      </c>
      <c r="EZ20" s="26">
        <v>8.5076210000000003</v>
      </c>
      <c r="FA20" s="26">
        <v>9.4292800000000003</v>
      </c>
      <c r="FB20" s="26">
        <v>23.325061999999999</v>
      </c>
      <c r="FC20" s="26">
        <v>0.38993299999999997</v>
      </c>
      <c r="FD20">
        <v>661</v>
      </c>
      <c r="FE20">
        <v>2615</v>
      </c>
      <c r="FF20">
        <v>261</v>
      </c>
      <c r="FG20">
        <v>1621</v>
      </c>
      <c r="FH20">
        <v>5</v>
      </c>
      <c r="FI20">
        <v>1642</v>
      </c>
      <c r="FJ20">
        <v>831</v>
      </c>
      <c r="FK20" s="26" t="s">
        <v>359</v>
      </c>
      <c r="FL20" s="26" t="s">
        <v>359</v>
      </c>
      <c r="FM20" s="26" t="s">
        <v>359</v>
      </c>
      <c r="FN20" s="26" t="s">
        <v>359</v>
      </c>
      <c r="FO20" s="28">
        <v>5225</v>
      </c>
      <c r="FP20" s="28">
        <v>3652</v>
      </c>
      <c r="FQ20">
        <v>526</v>
      </c>
      <c r="FR20">
        <v>257</v>
      </c>
      <c r="FS20">
        <v>67</v>
      </c>
      <c r="FT20">
        <v>26</v>
      </c>
      <c r="FU20">
        <v>4249</v>
      </c>
      <c r="FV20">
        <v>21</v>
      </c>
      <c r="FW20">
        <v>25</v>
      </c>
      <c r="FX20">
        <v>5</v>
      </c>
      <c r="FY20">
        <v>5452</v>
      </c>
      <c r="FZ20">
        <v>3284</v>
      </c>
      <c r="GA20">
        <v>477</v>
      </c>
      <c r="GB20">
        <v>311</v>
      </c>
      <c r="GC20">
        <v>80</v>
      </c>
      <c r="GD20">
        <v>25</v>
      </c>
      <c r="GE20">
        <v>4466</v>
      </c>
      <c r="GF20">
        <v>17</v>
      </c>
      <c r="GG20">
        <v>18</v>
      </c>
      <c r="GH20">
        <v>1</v>
      </c>
      <c r="GI20">
        <v>403</v>
      </c>
      <c r="GJ20">
        <v>530</v>
      </c>
      <c r="GK20">
        <v>499</v>
      </c>
      <c r="GL20">
        <v>411</v>
      </c>
      <c r="GM20">
        <v>308</v>
      </c>
      <c r="GN20">
        <v>325</v>
      </c>
      <c r="GO20">
        <v>337</v>
      </c>
      <c r="GP20">
        <v>328</v>
      </c>
      <c r="GQ20">
        <v>336</v>
      </c>
      <c r="GR20">
        <v>317</v>
      </c>
      <c r="GS20">
        <v>281</v>
      </c>
      <c r="GT20">
        <v>274</v>
      </c>
      <c r="GU20">
        <v>214</v>
      </c>
      <c r="GV20">
        <v>235</v>
      </c>
      <c r="GW20">
        <v>166</v>
      </c>
      <c r="GX20">
        <v>99</v>
      </c>
      <c r="GY20">
        <v>79</v>
      </c>
      <c r="GZ20">
        <v>83</v>
      </c>
      <c r="HA20">
        <v>449</v>
      </c>
      <c r="HB20">
        <v>467</v>
      </c>
      <c r="HC20">
        <v>489</v>
      </c>
      <c r="HD20">
        <v>391</v>
      </c>
      <c r="HE20">
        <v>348</v>
      </c>
      <c r="HF20">
        <v>368</v>
      </c>
      <c r="HG20">
        <v>409</v>
      </c>
      <c r="HH20">
        <v>388</v>
      </c>
      <c r="HI20">
        <v>385</v>
      </c>
      <c r="HJ20">
        <v>352</v>
      </c>
      <c r="HK20">
        <v>301</v>
      </c>
      <c r="HL20">
        <v>266</v>
      </c>
      <c r="HM20">
        <v>254</v>
      </c>
      <c r="HN20">
        <v>197</v>
      </c>
      <c r="HO20">
        <v>142</v>
      </c>
      <c r="HP20">
        <v>122</v>
      </c>
      <c r="HQ20">
        <v>48</v>
      </c>
      <c r="HR20">
        <v>76</v>
      </c>
      <c r="HS20">
        <v>3971</v>
      </c>
      <c r="HT20">
        <v>2</v>
      </c>
      <c r="HU20">
        <v>23</v>
      </c>
      <c r="HV20">
        <v>0</v>
      </c>
      <c r="HW20">
        <v>11</v>
      </c>
      <c r="HX20">
        <v>0</v>
      </c>
      <c r="HY20">
        <v>0</v>
      </c>
      <c r="HZ20">
        <v>0</v>
      </c>
      <c r="IA20">
        <v>505</v>
      </c>
      <c r="IB20">
        <v>992</v>
      </c>
      <c r="IC20">
        <v>972</v>
      </c>
      <c r="ID20">
        <v>954</v>
      </c>
      <c r="IE20">
        <v>647</v>
      </c>
      <c r="IF20">
        <v>350</v>
      </c>
      <c r="IG20">
        <v>158</v>
      </c>
      <c r="IH20">
        <v>95</v>
      </c>
      <c r="II20">
        <v>101</v>
      </c>
      <c r="IJ20">
        <v>1150</v>
      </c>
      <c r="IK20">
        <v>1503</v>
      </c>
      <c r="IL20">
        <v>1327</v>
      </c>
      <c r="IM20">
        <v>589</v>
      </c>
      <c r="IN20">
        <v>155</v>
      </c>
      <c r="IO20">
        <v>33</v>
      </c>
      <c r="IP20">
        <v>10</v>
      </c>
      <c r="IQ20">
        <v>5</v>
      </c>
      <c r="IR20">
        <v>2</v>
      </c>
      <c r="IS20">
        <v>2245</v>
      </c>
      <c r="IT20">
        <v>1907</v>
      </c>
      <c r="IU20">
        <v>517</v>
      </c>
      <c r="IV20">
        <v>86</v>
      </c>
      <c r="IW20">
        <v>19</v>
      </c>
      <c r="IX20">
        <v>1090</v>
      </c>
      <c r="IY20">
        <v>454</v>
      </c>
      <c r="IZ20">
        <v>4</v>
      </c>
      <c r="JA20">
        <v>23</v>
      </c>
      <c r="JB20">
        <v>0</v>
      </c>
      <c r="JC20">
        <v>24</v>
      </c>
      <c r="JD20">
        <v>4486</v>
      </c>
      <c r="JE20">
        <v>288</v>
      </c>
      <c r="JF20">
        <v>0</v>
      </c>
      <c r="JH20" s="28">
        <v>3851.5438635100686</v>
      </c>
      <c r="JI20" s="28">
        <v>348.90986971274339</v>
      </c>
      <c r="JJ20">
        <v>426</v>
      </c>
      <c r="JK20">
        <v>3769</v>
      </c>
      <c r="JL20">
        <v>579</v>
      </c>
      <c r="JM20">
        <v>0</v>
      </c>
      <c r="JN20">
        <v>3926</v>
      </c>
      <c r="JO20">
        <v>2893</v>
      </c>
      <c r="JP20">
        <v>683</v>
      </c>
      <c r="JQ20">
        <v>2619</v>
      </c>
      <c r="JR20">
        <v>3915</v>
      </c>
      <c r="JS20">
        <v>346</v>
      </c>
      <c r="JT20">
        <v>703</v>
      </c>
      <c r="JU20">
        <v>3222</v>
      </c>
      <c r="JV20">
        <v>407</v>
      </c>
      <c r="JW20" s="28"/>
      <c r="JX20" s="28"/>
      <c r="JY20" s="28"/>
      <c r="JZ20" s="28"/>
      <c r="KA20" s="28">
        <v>4670.9999951999998</v>
      </c>
      <c r="KB20">
        <v>14644</v>
      </c>
      <c r="KC20">
        <v>5</v>
      </c>
      <c r="KD20">
        <v>52</v>
      </c>
      <c r="KE20">
        <v>0</v>
      </c>
      <c r="KF20">
        <v>25</v>
      </c>
      <c r="KG20">
        <v>0</v>
      </c>
      <c r="KH20">
        <v>0</v>
      </c>
      <c r="KI20">
        <v>0</v>
      </c>
      <c r="KJ20">
        <v>1639</v>
      </c>
      <c r="KK20">
        <v>13684</v>
      </c>
      <c r="KL20">
        <v>2122</v>
      </c>
      <c r="KM20">
        <v>0</v>
      </c>
      <c r="KT20">
        <v>2254</v>
      </c>
      <c r="KU20">
        <v>2093</v>
      </c>
      <c r="KV20">
        <v>1720</v>
      </c>
      <c r="KW20">
        <v>330</v>
      </c>
      <c r="KX20">
        <v>136</v>
      </c>
      <c r="KZ20">
        <v>1613</v>
      </c>
      <c r="LA20">
        <v>312</v>
      </c>
      <c r="LB20">
        <v>108</v>
      </c>
      <c r="LD20">
        <v>1195</v>
      </c>
      <c r="LE20">
        <v>1197</v>
      </c>
      <c r="LF20">
        <v>730</v>
      </c>
      <c r="LG20">
        <v>953</v>
      </c>
      <c r="LH20">
        <v>13042</v>
      </c>
      <c r="LI20">
        <v>11</v>
      </c>
      <c r="LJ20">
        <v>988</v>
      </c>
      <c r="LK20">
        <v>199</v>
      </c>
      <c r="LL20">
        <v>1236</v>
      </c>
      <c r="LM20">
        <v>7</v>
      </c>
      <c r="LN20">
        <v>1148</v>
      </c>
      <c r="LO20">
        <v>471</v>
      </c>
      <c r="LP20">
        <v>10</v>
      </c>
      <c r="LQ20">
        <v>1005</v>
      </c>
      <c r="LR20">
        <v>179</v>
      </c>
      <c r="LS20">
        <v>1462</v>
      </c>
      <c r="LT20">
        <v>9</v>
      </c>
      <c r="LU20">
        <v>945</v>
      </c>
      <c r="LV20">
        <v>326</v>
      </c>
      <c r="LW20" s="44"/>
      <c r="LX20" s="44"/>
      <c r="LY20" s="44"/>
      <c r="LZ20">
        <v>4774</v>
      </c>
      <c r="MA20">
        <v>17445</v>
      </c>
      <c r="MB20">
        <v>17065</v>
      </c>
      <c r="MC20">
        <v>263</v>
      </c>
      <c r="MD20" s="26">
        <v>12.904463</v>
      </c>
      <c r="ME20" s="26">
        <v>9.1172209999999989</v>
      </c>
      <c r="MF20" s="26">
        <v>47.776415</v>
      </c>
      <c r="MG20" s="26">
        <v>39.366593000000002</v>
      </c>
      <c r="MH20" s="26">
        <v>8.9233349999999998</v>
      </c>
      <c r="MI20" s="26">
        <v>5.6137410000000001</v>
      </c>
      <c r="MJ20" s="26">
        <v>3.2886469999999997</v>
      </c>
      <c r="MK20" s="26">
        <v>6.0326769999999996</v>
      </c>
      <c r="ML20" s="26">
        <v>2.1575199999999999</v>
      </c>
      <c r="MM20" s="26">
        <v>39.400922000000001</v>
      </c>
      <c r="MN20" s="26">
        <v>17.762881999999998</v>
      </c>
      <c r="MO20" s="26">
        <v>-6.6617999999999997E-2</v>
      </c>
      <c r="MP20" t="s">
        <v>1027</v>
      </c>
      <c r="MQ20">
        <v>1085</v>
      </c>
      <c r="MR20">
        <v>100</v>
      </c>
    </row>
    <row r="21" spans="1:356">
      <c r="A21" t="s">
        <v>81</v>
      </c>
      <c r="B21" t="s">
        <v>82</v>
      </c>
      <c r="C21">
        <v>12256</v>
      </c>
      <c r="D21">
        <v>14027</v>
      </c>
      <c r="E21">
        <v>21915</v>
      </c>
      <c r="F21">
        <f t="shared" si="0"/>
        <v>7888</v>
      </c>
      <c r="G21" s="26">
        <f t="shared" si="1"/>
        <v>56.234405075924997</v>
      </c>
      <c r="H21">
        <v>10873</v>
      </c>
      <c r="I21">
        <v>11042</v>
      </c>
      <c r="J21">
        <v>0</v>
      </c>
      <c r="K21">
        <v>21915</v>
      </c>
      <c r="L21">
        <v>1804</v>
      </c>
      <c r="M21">
        <v>1737</v>
      </c>
      <c r="N21">
        <v>1486</v>
      </c>
      <c r="O21">
        <v>1169</v>
      </c>
      <c r="P21">
        <v>996</v>
      </c>
      <c r="Q21">
        <v>784</v>
      </c>
      <c r="R21">
        <v>629</v>
      </c>
      <c r="S21">
        <v>554</v>
      </c>
      <c r="T21">
        <v>452</v>
      </c>
      <c r="U21">
        <v>360</v>
      </c>
      <c r="V21">
        <v>288</v>
      </c>
      <c r="W21">
        <v>197</v>
      </c>
      <c r="X21">
        <v>145</v>
      </c>
      <c r="Y21">
        <v>270</v>
      </c>
      <c r="Z21">
        <v>2</v>
      </c>
      <c r="AA21">
        <v>1769</v>
      </c>
      <c r="AB21">
        <v>1714</v>
      </c>
      <c r="AC21">
        <v>1454</v>
      </c>
      <c r="AD21">
        <v>1248</v>
      </c>
      <c r="AE21">
        <v>1003</v>
      </c>
      <c r="AF21">
        <v>811</v>
      </c>
      <c r="AG21">
        <v>736</v>
      </c>
      <c r="AH21">
        <v>587</v>
      </c>
      <c r="AI21">
        <v>350</v>
      </c>
      <c r="AJ21">
        <v>422</v>
      </c>
      <c r="AK21">
        <v>292</v>
      </c>
      <c r="AL21">
        <v>211</v>
      </c>
      <c r="AM21">
        <v>147</v>
      </c>
      <c r="AN21">
        <v>296</v>
      </c>
      <c r="AO21">
        <v>2</v>
      </c>
      <c r="AP21">
        <v>21892</v>
      </c>
      <c r="AQ21">
        <v>16</v>
      </c>
      <c r="AR21">
        <v>1</v>
      </c>
      <c r="AS21">
        <v>0</v>
      </c>
      <c r="AT21">
        <v>6</v>
      </c>
      <c r="AU21">
        <v>19496</v>
      </c>
      <c r="AV21">
        <v>9626</v>
      </c>
      <c r="AW21">
        <v>9870</v>
      </c>
      <c r="AX21">
        <v>9914</v>
      </c>
      <c r="AY21">
        <v>12551</v>
      </c>
      <c r="AZ21">
        <v>12551</v>
      </c>
      <c r="BA21">
        <v>0</v>
      </c>
      <c r="BB21">
        <v>642</v>
      </c>
      <c r="BC21">
        <v>706</v>
      </c>
      <c r="BD21">
        <v>1712</v>
      </c>
      <c r="BE21">
        <v>1687</v>
      </c>
      <c r="BF21">
        <v>1472</v>
      </c>
      <c r="BG21">
        <v>1441</v>
      </c>
      <c r="BH21">
        <v>1162</v>
      </c>
      <c r="BI21">
        <v>1234</v>
      </c>
      <c r="BJ21">
        <v>987</v>
      </c>
      <c r="BK21">
        <v>982</v>
      </c>
      <c r="BL21">
        <v>777</v>
      </c>
      <c r="BM21">
        <v>802</v>
      </c>
      <c r="BN21">
        <v>627</v>
      </c>
      <c r="BO21">
        <v>733</v>
      </c>
      <c r="BP21">
        <v>547</v>
      </c>
      <c r="BQ21">
        <v>585</v>
      </c>
      <c r="BR21">
        <v>447</v>
      </c>
      <c r="BS21">
        <v>346</v>
      </c>
      <c r="BT21">
        <v>358</v>
      </c>
      <c r="BU21">
        <v>419</v>
      </c>
      <c r="BV21">
        <v>287</v>
      </c>
      <c r="BW21">
        <v>289</v>
      </c>
      <c r="BX21">
        <v>196</v>
      </c>
      <c r="BY21">
        <v>209</v>
      </c>
      <c r="BZ21">
        <v>144</v>
      </c>
      <c r="CA21">
        <v>145</v>
      </c>
      <c r="CB21">
        <v>268</v>
      </c>
      <c r="CC21">
        <v>292</v>
      </c>
      <c r="CD21">
        <v>3396</v>
      </c>
      <c r="CE21">
        <v>2078</v>
      </c>
      <c r="CF21">
        <v>5784</v>
      </c>
      <c r="CG21">
        <v>7440</v>
      </c>
      <c r="CH21">
        <v>3854</v>
      </c>
      <c r="CI21">
        <v>965</v>
      </c>
      <c r="CJ21">
        <v>18240</v>
      </c>
      <c r="CK21">
        <v>3675</v>
      </c>
      <c r="CL21">
        <v>450</v>
      </c>
      <c r="CM21">
        <v>625</v>
      </c>
      <c r="CN21">
        <v>789</v>
      </c>
      <c r="CO21">
        <v>766</v>
      </c>
      <c r="CP21">
        <v>647</v>
      </c>
      <c r="CQ21">
        <v>1542</v>
      </c>
      <c r="CR21">
        <v>3783</v>
      </c>
      <c r="CS21">
        <v>12423</v>
      </c>
      <c r="CT21">
        <v>401</v>
      </c>
      <c r="CU21">
        <v>184</v>
      </c>
      <c r="CV21">
        <v>109</v>
      </c>
      <c r="CW21">
        <v>193</v>
      </c>
      <c r="CX21">
        <v>0</v>
      </c>
      <c r="CY21">
        <v>3853</v>
      </c>
      <c r="CZ21">
        <v>515</v>
      </c>
      <c r="DA21">
        <v>0</v>
      </c>
      <c r="DB21">
        <v>450</v>
      </c>
      <c r="DC21">
        <v>0</v>
      </c>
      <c r="DD21">
        <v>344</v>
      </c>
      <c r="DE21">
        <v>3614</v>
      </c>
      <c r="DF21">
        <v>6601</v>
      </c>
      <c r="DG21">
        <v>11356</v>
      </c>
      <c r="DH21">
        <v>0</v>
      </c>
      <c r="DI21">
        <v>0</v>
      </c>
      <c r="DJ21">
        <v>0</v>
      </c>
      <c r="DK21">
        <v>0</v>
      </c>
      <c r="DL21">
        <v>0</v>
      </c>
      <c r="DM21">
        <v>7</v>
      </c>
      <c r="DN21">
        <v>22</v>
      </c>
      <c r="DO21">
        <v>18</v>
      </c>
      <c r="DP21">
        <v>10</v>
      </c>
      <c r="DQ21">
        <v>0</v>
      </c>
      <c r="DR21">
        <v>0</v>
      </c>
      <c r="DS21">
        <v>0</v>
      </c>
      <c r="DT21">
        <v>0</v>
      </c>
      <c r="DU21">
        <v>0</v>
      </c>
      <c r="DV21">
        <v>275</v>
      </c>
      <c r="DW21">
        <v>408</v>
      </c>
      <c r="DX21">
        <v>466</v>
      </c>
      <c r="DY21">
        <v>550</v>
      </c>
      <c r="DZ21">
        <v>258</v>
      </c>
      <c r="EA21">
        <v>318</v>
      </c>
      <c r="EB21">
        <v>127</v>
      </c>
      <c r="EC21">
        <v>128</v>
      </c>
      <c r="ED21">
        <v>66</v>
      </c>
      <c r="EE21">
        <v>88</v>
      </c>
      <c r="EF21">
        <v>192</v>
      </c>
      <c r="EG21">
        <v>260</v>
      </c>
      <c r="EH21">
        <v>65</v>
      </c>
      <c r="EI21">
        <v>50</v>
      </c>
      <c r="EJ21">
        <v>515</v>
      </c>
      <c r="EK21">
        <v>772</v>
      </c>
      <c r="EL21">
        <v>424</v>
      </c>
      <c r="EM21">
        <v>172</v>
      </c>
      <c r="EN21">
        <v>114</v>
      </c>
      <c r="EO21">
        <v>326</v>
      </c>
      <c r="EP21">
        <v>80</v>
      </c>
      <c r="EQ21">
        <v>5075</v>
      </c>
      <c r="ER21">
        <v>4494</v>
      </c>
      <c r="ES21">
        <v>581</v>
      </c>
      <c r="ET21">
        <v>1604</v>
      </c>
      <c r="EU21">
        <v>894</v>
      </c>
      <c r="EV21">
        <v>823</v>
      </c>
      <c r="EW21">
        <v>71</v>
      </c>
      <c r="EX21">
        <v>6006</v>
      </c>
      <c r="EY21" s="26">
        <v>87.170309000000003</v>
      </c>
      <c r="EZ21" s="26">
        <v>4.7852300000000003</v>
      </c>
      <c r="FA21" s="26">
        <v>3.0143179999999998</v>
      </c>
      <c r="FB21" s="26">
        <v>4.7287109999999997</v>
      </c>
      <c r="FC21" s="26">
        <v>0.30143199999999998</v>
      </c>
      <c r="FD21">
        <v>1036</v>
      </c>
      <c r="FE21">
        <v>3528</v>
      </c>
      <c r="FF21">
        <v>165</v>
      </c>
      <c r="FG21">
        <v>915</v>
      </c>
      <c r="FH21">
        <v>0</v>
      </c>
      <c r="FI21">
        <v>294</v>
      </c>
      <c r="FJ21">
        <v>31</v>
      </c>
      <c r="FK21" s="26" t="s">
        <v>359</v>
      </c>
      <c r="FL21" s="26" t="s">
        <v>359</v>
      </c>
      <c r="FM21" s="26" t="s">
        <v>359</v>
      </c>
      <c r="FN21" s="26" t="s">
        <v>359</v>
      </c>
      <c r="FO21" s="28">
        <v>8024</v>
      </c>
      <c r="FP21" s="28">
        <v>2842</v>
      </c>
      <c r="FQ21">
        <v>199</v>
      </c>
      <c r="FR21">
        <v>7</v>
      </c>
      <c r="FS21">
        <v>1</v>
      </c>
      <c r="FT21">
        <v>1</v>
      </c>
      <c r="FU21">
        <v>7466</v>
      </c>
      <c r="FV21">
        <v>43</v>
      </c>
      <c r="FW21">
        <v>33</v>
      </c>
      <c r="FX21">
        <v>7</v>
      </c>
      <c r="FY21">
        <v>8441</v>
      </c>
      <c r="FZ21">
        <v>2596</v>
      </c>
      <c r="GA21">
        <v>222</v>
      </c>
      <c r="GB21">
        <v>4</v>
      </c>
      <c r="GC21">
        <v>1</v>
      </c>
      <c r="GD21">
        <v>1</v>
      </c>
      <c r="GE21">
        <v>7882</v>
      </c>
      <c r="GF21">
        <v>40</v>
      </c>
      <c r="GG21">
        <v>25</v>
      </c>
      <c r="GH21">
        <v>5</v>
      </c>
      <c r="GI21">
        <v>1132</v>
      </c>
      <c r="GJ21">
        <v>1402</v>
      </c>
      <c r="GK21">
        <v>1210</v>
      </c>
      <c r="GL21">
        <v>854</v>
      </c>
      <c r="GM21">
        <v>626</v>
      </c>
      <c r="GN21">
        <v>584</v>
      </c>
      <c r="GO21">
        <v>491</v>
      </c>
      <c r="GP21">
        <v>447</v>
      </c>
      <c r="GQ21">
        <v>342</v>
      </c>
      <c r="GR21">
        <v>282</v>
      </c>
      <c r="GS21">
        <v>217</v>
      </c>
      <c r="GT21">
        <v>147</v>
      </c>
      <c r="GU21">
        <v>99</v>
      </c>
      <c r="GV21">
        <v>79</v>
      </c>
      <c r="GW21">
        <v>44</v>
      </c>
      <c r="GX21">
        <v>30</v>
      </c>
      <c r="GY21">
        <v>19</v>
      </c>
      <c r="GZ21">
        <v>19</v>
      </c>
      <c r="HA21">
        <v>1142</v>
      </c>
      <c r="HB21">
        <v>1372</v>
      </c>
      <c r="HC21">
        <v>1186</v>
      </c>
      <c r="HD21">
        <v>866</v>
      </c>
      <c r="HE21">
        <v>727</v>
      </c>
      <c r="HF21">
        <v>645</v>
      </c>
      <c r="HG21">
        <v>618</v>
      </c>
      <c r="HH21">
        <v>502</v>
      </c>
      <c r="HI21">
        <v>285</v>
      </c>
      <c r="HJ21">
        <v>352</v>
      </c>
      <c r="HK21">
        <v>237</v>
      </c>
      <c r="HL21">
        <v>166</v>
      </c>
      <c r="HM21">
        <v>114</v>
      </c>
      <c r="HN21">
        <v>98</v>
      </c>
      <c r="HO21">
        <v>49</v>
      </c>
      <c r="HP21">
        <v>40</v>
      </c>
      <c r="HQ21">
        <v>18</v>
      </c>
      <c r="HR21">
        <v>24</v>
      </c>
      <c r="HS21">
        <v>4453</v>
      </c>
      <c r="HT21">
        <v>0</v>
      </c>
      <c r="HU21">
        <v>0</v>
      </c>
      <c r="HV21">
        <v>0</v>
      </c>
      <c r="HW21">
        <v>4</v>
      </c>
      <c r="HX21">
        <v>0</v>
      </c>
      <c r="HY21">
        <v>5</v>
      </c>
      <c r="HZ21">
        <v>1</v>
      </c>
      <c r="IA21">
        <v>447</v>
      </c>
      <c r="IB21">
        <v>625</v>
      </c>
      <c r="IC21">
        <v>787</v>
      </c>
      <c r="ID21">
        <v>765</v>
      </c>
      <c r="IE21">
        <v>646</v>
      </c>
      <c r="IF21">
        <v>537</v>
      </c>
      <c r="IG21">
        <v>385</v>
      </c>
      <c r="IH21">
        <v>280</v>
      </c>
      <c r="II21">
        <v>338</v>
      </c>
      <c r="IJ21">
        <v>605</v>
      </c>
      <c r="IK21">
        <v>2876</v>
      </c>
      <c r="IL21">
        <v>924</v>
      </c>
      <c r="IM21">
        <v>251</v>
      </c>
      <c r="IN21">
        <v>95</v>
      </c>
      <c r="IO21">
        <v>40</v>
      </c>
      <c r="IP21">
        <v>6</v>
      </c>
      <c r="IQ21">
        <v>4</v>
      </c>
      <c r="IR21">
        <v>8</v>
      </c>
      <c r="IS21">
        <v>3516</v>
      </c>
      <c r="IT21">
        <v>961</v>
      </c>
      <c r="IU21">
        <v>211</v>
      </c>
      <c r="IV21">
        <v>81</v>
      </c>
      <c r="IW21">
        <v>40</v>
      </c>
      <c r="IX21">
        <v>115</v>
      </c>
      <c r="IY21">
        <v>444</v>
      </c>
      <c r="IZ21">
        <v>24</v>
      </c>
      <c r="JA21">
        <v>56</v>
      </c>
      <c r="JB21">
        <v>1</v>
      </c>
      <c r="JC21">
        <v>587</v>
      </c>
      <c r="JD21">
        <v>1308</v>
      </c>
      <c r="JE21">
        <v>3501</v>
      </c>
      <c r="JF21">
        <v>1</v>
      </c>
      <c r="JH21" s="28">
        <v>2478.4384346822339</v>
      </c>
      <c r="JI21" s="28">
        <v>403.61601848225882</v>
      </c>
      <c r="JJ21">
        <v>1926</v>
      </c>
      <c r="JK21">
        <v>2864</v>
      </c>
      <c r="JL21">
        <v>19</v>
      </c>
      <c r="JM21">
        <v>1</v>
      </c>
      <c r="JN21">
        <v>372</v>
      </c>
      <c r="JO21">
        <v>18</v>
      </c>
      <c r="JP21">
        <v>165</v>
      </c>
      <c r="JQ21">
        <v>1188</v>
      </c>
      <c r="JR21">
        <v>1405</v>
      </c>
      <c r="JS21">
        <v>37</v>
      </c>
      <c r="JT21">
        <v>17</v>
      </c>
      <c r="JU21">
        <v>1619</v>
      </c>
      <c r="JV21">
        <v>54</v>
      </c>
      <c r="JW21" s="28"/>
      <c r="JX21" s="28"/>
      <c r="JY21" s="28"/>
      <c r="JZ21" s="28"/>
      <c r="KA21" s="28">
        <v>4178.0000067000001</v>
      </c>
      <c r="KB21">
        <v>20462</v>
      </c>
      <c r="KC21">
        <v>0</v>
      </c>
      <c r="KD21">
        <v>0</v>
      </c>
      <c r="KE21">
        <v>0</v>
      </c>
      <c r="KF21">
        <v>18</v>
      </c>
      <c r="KG21">
        <v>0</v>
      </c>
      <c r="KH21">
        <v>12</v>
      </c>
      <c r="KI21">
        <v>3</v>
      </c>
      <c r="KJ21">
        <v>8548</v>
      </c>
      <c r="KK21">
        <v>13251</v>
      </c>
      <c r="KL21">
        <v>82</v>
      </c>
      <c r="KM21">
        <v>4</v>
      </c>
      <c r="KT21">
        <v>3057</v>
      </c>
      <c r="KU21">
        <v>2914</v>
      </c>
      <c r="KV21">
        <v>2874</v>
      </c>
      <c r="KW21">
        <v>100</v>
      </c>
      <c r="KX21">
        <v>13</v>
      </c>
      <c r="KZ21">
        <v>2731</v>
      </c>
      <c r="LA21">
        <v>89</v>
      </c>
      <c r="LB21">
        <v>11</v>
      </c>
      <c r="LD21">
        <v>1619</v>
      </c>
      <c r="LE21">
        <v>1561</v>
      </c>
      <c r="LF21">
        <v>1202</v>
      </c>
      <c r="LG21">
        <v>2282</v>
      </c>
      <c r="LH21">
        <v>11947</v>
      </c>
      <c r="LI21">
        <v>30</v>
      </c>
      <c r="LJ21">
        <v>2453</v>
      </c>
      <c r="LK21">
        <v>214</v>
      </c>
      <c r="LL21">
        <v>964</v>
      </c>
      <c r="LM21">
        <v>1</v>
      </c>
      <c r="LN21">
        <v>255</v>
      </c>
      <c r="LO21">
        <v>16</v>
      </c>
      <c r="LP21">
        <v>13</v>
      </c>
      <c r="LQ21">
        <v>2248</v>
      </c>
      <c r="LR21">
        <v>146</v>
      </c>
      <c r="LS21">
        <v>608</v>
      </c>
      <c r="LT21">
        <v>0</v>
      </c>
      <c r="LU21">
        <v>164</v>
      </c>
      <c r="LV21">
        <v>11</v>
      </c>
      <c r="LW21" s="44"/>
      <c r="LX21" s="44"/>
      <c r="LY21" s="44"/>
      <c r="LZ21">
        <v>4810</v>
      </c>
      <c r="MA21">
        <v>21885</v>
      </c>
      <c r="MB21">
        <v>16803</v>
      </c>
      <c r="MC21">
        <v>15149</v>
      </c>
      <c r="MD21" s="26">
        <v>29.162132999999997</v>
      </c>
      <c r="ME21" s="26">
        <v>21.794194999999998</v>
      </c>
      <c r="MF21" s="26">
        <v>81.141708999999992</v>
      </c>
      <c r="MG21" s="26">
        <v>24.814053999999999</v>
      </c>
      <c r="MH21" s="26">
        <v>40.041579999999996</v>
      </c>
      <c r="MI21" s="26">
        <v>17.858628</v>
      </c>
      <c r="MJ21" s="26">
        <v>49.376298999999996</v>
      </c>
      <c r="MK21" s="26">
        <v>72.785862999999992</v>
      </c>
      <c r="ML21" s="26">
        <v>13.139292999999999</v>
      </c>
      <c r="MM21" s="26">
        <v>99.625779999999992</v>
      </c>
      <c r="MN21" s="26">
        <v>92.266111999999993</v>
      </c>
      <c r="MO21" s="26">
        <v>4.2605170000000001</v>
      </c>
      <c r="MP21" t="s">
        <v>1030</v>
      </c>
      <c r="MQ21">
        <v>6</v>
      </c>
      <c r="MR21">
        <v>1</v>
      </c>
    </row>
    <row r="22" spans="1:356">
      <c r="A22" t="s">
        <v>83</v>
      </c>
      <c r="B22" t="s">
        <v>84</v>
      </c>
      <c r="C22">
        <v>59005</v>
      </c>
      <c r="D22">
        <v>76941</v>
      </c>
      <c r="E22">
        <v>101967</v>
      </c>
      <c r="F22">
        <f t="shared" si="0"/>
        <v>25026</v>
      </c>
      <c r="G22" s="26">
        <f t="shared" si="1"/>
        <v>32.526221390416026</v>
      </c>
      <c r="H22">
        <v>46948</v>
      </c>
      <c r="I22">
        <v>55019</v>
      </c>
      <c r="J22">
        <v>4727</v>
      </c>
      <c r="K22">
        <v>97240</v>
      </c>
      <c r="L22">
        <v>6905</v>
      </c>
      <c r="M22">
        <v>6989</v>
      </c>
      <c r="N22">
        <v>6201</v>
      </c>
      <c r="O22">
        <v>5143</v>
      </c>
      <c r="P22">
        <v>3977</v>
      </c>
      <c r="Q22">
        <v>3333</v>
      </c>
      <c r="R22">
        <v>2846</v>
      </c>
      <c r="S22">
        <v>2716</v>
      </c>
      <c r="T22">
        <v>2035</v>
      </c>
      <c r="U22">
        <v>1592</v>
      </c>
      <c r="V22">
        <v>1201</v>
      </c>
      <c r="W22">
        <v>1128</v>
      </c>
      <c r="X22">
        <v>875</v>
      </c>
      <c r="Y22">
        <v>2006</v>
      </c>
      <c r="Z22">
        <v>1</v>
      </c>
      <c r="AA22">
        <v>6966</v>
      </c>
      <c r="AB22">
        <v>7342</v>
      </c>
      <c r="AC22">
        <v>6596</v>
      </c>
      <c r="AD22">
        <v>5779</v>
      </c>
      <c r="AE22">
        <v>5028</v>
      </c>
      <c r="AF22">
        <v>4467</v>
      </c>
      <c r="AG22">
        <v>3671</v>
      </c>
      <c r="AH22">
        <v>3440</v>
      </c>
      <c r="AI22">
        <v>2458</v>
      </c>
      <c r="AJ22">
        <v>2148</v>
      </c>
      <c r="AK22">
        <v>1725</v>
      </c>
      <c r="AL22">
        <v>1622</v>
      </c>
      <c r="AM22">
        <v>1152</v>
      </c>
      <c r="AN22">
        <v>2624</v>
      </c>
      <c r="AO22">
        <v>1</v>
      </c>
      <c r="AP22">
        <v>101806</v>
      </c>
      <c r="AQ22">
        <v>62</v>
      </c>
      <c r="AR22">
        <v>35</v>
      </c>
      <c r="AS22">
        <v>5</v>
      </c>
      <c r="AT22">
        <v>59</v>
      </c>
      <c r="AU22">
        <v>92158</v>
      </c>
      <c r="AV22">
        <v>42170</v>
      </c>
      <c r="AW22">
        <v>49988</v>
      </c>
      <c r="AX22">
        <v>48819</v>
      </c>
      <c r="AY22">
        <v>69475</v>
      </c>
      <c r="AZ22">
        <v>66455</v>
      </c>
      <c r="BA22">
        <v>3020</v>
      </c>
      <c r="BB22">
        <v>2761</v>
      </c>
      <c r="BC22">
        <v>2769</v>
      </c>
      <c r="BD22">
        <v>6801</v>
      </c>
      <c r="BE22">
        <v>7192</v>
      </c>
      <c r="BF22">
        <v>6080</v>
      </c>
      <c r="BG22">
        <v>6460</v>
      </c>
      <c r="BH22">
        <v>5059</v>
      </c>
      <c r="BI22">
        <v>5665</v>
      </c>
      <c r="BJ22">
        <v>3926</v>
      </c>
      <c r="BK22">
        <v>4931</v>
      </c>
      <c r="BL22">
        <v>3280</v>
      </c>
      <c r="BM22">
        <v>4402</v>
      </c>
      <c r="BN22">
        <v>2812</v>
      </c>
      <c r="BO22">
        <v>3606</v>
      </c>
      <c r="BP22">
        <v>2686</v>
      </c>
      <c r="BQ22">
        <v>3382</v>
      </c>
      <c r="BR22">
        <v>2021</v>
      </c>
      <c r="BS22">
        <v>2425</v>
      </c>
      <c r="BT22">
        <v>1567</v>
      </c>
      <c r="BU22">
        <v>2116</v>
      </c>
      <c r="BV22">
        <v>1193</v>
      </c>
      <c r="BW22">
        <v>1705</v>
      </c>
      <c r="BX22">
        <v>1123</v>
      </c>
      <c r="BY22">
        <v>1598</v>
      </c>
      <c r="BZ22">
        <v>870</v>
      </c>
      <c r="CA22">
        <v>1141</v>
      </c>
      <c r="CB22">
        <v>1991</v>
      </c>
      <c r="CC22">
        <v>2596</v>
      </c>
      <c r="CD22">
        <v>24955</v>
      </c>
      <c r="CE22">
        <v>19154</v>
      </c>
      <c r="CF22">
        <v>16379</v>
      </c>
      <c r="CG22">
        <v>29696</v>
      </c>
      <c r="CH22">
        <v>16020</v>
      </c>
      <c r="CI22">
        <v>6634</v>
      </c>
      <c r="CJ22">
        <v>78819</v>
      </c>
      <c r="CK22">
        <v>23098</v>
      </c>
      <c r="CL22">
        <v>2078</v>
      </c>
      <c r="CM22">
        <v>3080</v>
      </c>
      <c r="CN22">
        <v>3453</v>
      </c>
      <c r="CO22">
        <v>3621</v>
      </c>
      <c r="CP22">
        <v>3370</v>
      </c>
      <c r="CQ22">
        <v>7052</v>
      </c>
      <c r="CR22">
        <v>15899</v>
      </c>
      <c r="CS22">
        <v>55863</v>
      </c>
      <c r="CT22">
        <v>3419</v>
      </c>
      <c r="CU22">
        <v>1842</v>
      </c>
      <c r="CV22">
        <v>773</v>
      </c>
      <c r="CW22">
        <v>1441</v>
      </c>
      <c r="CX22">
        <v>20</v>
      </c>
      <c r="CY22">
        <v>16836</v>
      </c>
      <c r="CZ22">
        <v>3720</v>
      </c>
      <c r="DA22">
        <v>13</v>
      </c>
      <c r="DB22">
        <v>2078</v>
      </c>
      <c r="DC22">
        <v>3</v>
      </c>
      <c r="DD22">
        <v>1242</v>
      </c>
      <c r="DE22">
        <v>3772</v>
      </c>
      <c r="DF22">
        <v>15787</v>
      </c>
      <c r="DG22">
        <v>76439</v>
      </c>
      <c r="DH22">
        <v>4727</v>
      </c>
      <c r="DI22">
        <v>0</v>
      </c>
      <c r="DJ22">
        <v>0</v>
      </c>
      <c r="DK22">
        <v>0</v>
      </c>
      <c r="DL22">
        <v>0</v>
      </c>
      <c r="DM22">
        <v>21</v>
      </c>
      <c r="DN22">
        <v>24</v>
      </c>
      <c r="DO22">
        <v>41</v>
      </c>
      <c r="DP22">
        <v>70</v>
      </c>
      <c r="DQ22">
        <v>1</v>
      </c>
      <c r="DR22">
        <v>0</v>
      </c>
      <c r="DS22">
        <v>0</v>
      </c>
      <c r="DT22">
        <v>0</v>
      </c>
      <c r="DU22">
        <v>0</v>
      </c>
      <c r="DV22">
        <v>836</v>
      </c>
      <c r="DW22">
        <v>1191</v>
      </c>
      <c r="DX22">
        <v>1225</v>
      </c>
      <c r="DY22">
        <v>1604</v>
      </c>
      <c r="DZ22">
        <v>997</v>
      </c>
      <c r="EA22">
        <v>1198</v>
      </c>
      <c r="EB22">
        <v>457</v>
      </c>
      <c r="EC22">
        <v>497</v>
      </c>
      <c r="ED22">
        <v>424</v>
      </c>
      <c r="EE22">
        <v>545</v>
      </c>
      <c r="EF22">
        <v>509</v>
      </c>
      <c r="EG22">
        <v>706</v>
      </c>
      <c r="EH22">
        <v>187</v>
      </c>
      <c r="EI22">
        <v>154</v>
      </c>
      <c r="EJ22">
        <v>1586</v>
      </c>
      <c r="EK22">
        <v>2268</v>
      </c>
      <c r="EL22">
        <v>1748</v>
      </c>
      <c r="EM22">
        <v>702</v>
      </c>
      <c r="EN22">
        <v>753</v>
      </c>
      <c r="EO22">
        <v>917</v>
      </c>
      <c r="EP22">
        <v>281</v>
      </c>
      <c r="EQ22">
        <v>22226</v>
      </c>
      <c r="ER22">
        <v>20690</v>
      </c>
      <c r="ES22">
        <v>1536</v>
      </c>
      <c r="ET22">
        <v>8111</v>
      </c>
      <c r="EU22">
        <v>8924</v>
      </c>
      <c r="EV22">
        <v>8843</v>
      </c>
      <c r="EW22">
        <v>81</v>
      </c>
      <c r="EX22">
        <v>28860</v>
      </c>
      <c r="EY22" s="26">
        <v>55.100306000000003</v>
      </c>
      <c r="EZ22" s="26">
        <v>24.654879999999999</v>
      </c>
      <c r="FA22" s="26">
        <v>12.764366000000001</v>
      </c>
      <c r="FB22" s="26">
        <v>7.1438290000000002</v>
      </c>
      <c r="FC22" s="26">
        <v>0.33661999999999997</v>
      </c>
      <c r="FD22">
        <v>7731</v>
      </c>
      <c r="FE22">
        <v>18498</v>
      </c>
      <c r="FF22">
        <v>347</v>
      </c>
      <c r="FG22">
        <v>3704</v>
      </c>
      <c r="FH22">
        <v>0</v>
      </c>
      <c r="FI22">
        <v>742</v>
      </c>
      <c r="FJ22">
        <v>126</v>
      </c>
      <c r="FK22" s="26" t="s">
        <v>359</v>
      </c>
      <c r="FL22" s="26" t="s">
        <v>359</v>
      </c>
      <c r="FM22" s="26" t="s">
        <v>359</v>
      </c>
      <c r="FN22" s="26" t="s">
        <v>359</v>
      </c>
      <c r="FO22" s="28">
        <v>37152</v>
      </c>
      <c r="FP22" s="28">
        <v>9780</v>
      </c>
      <c r="FQ22">
        <v>909</v>
      </c>
      <c r="FR22">
        <v>22</v>
      </c>
      <c r="FS22">
        <v>5</v>
      </c>
      <c r="FT22">
        <v>17</v>
      </c>
      <c r="FU22">
        <v>33799</v>
      </c>
      <c r="FV22">
        <v>65</v>
      </c>
      <c r="FW22">
        <v>385</v>
      </c>
      <c r="FX22">
        <v>16</v>
      </c>
      <c r="FY22">
        <v>45228</v>
      </c>
      <c r="FZ22">
        <v>9776</v>
      </c>
      <c r="GA22">
        <v>1002</v>
      </c>
      <c r="GB22">
        <v>19</v>
      </c>
      <c r="GC22">
        <v>5</v>
      </c>
      <c r="GD22">
        <v>12</v>
      </c>
      <c r="GE22">
        <v>41447</v>
      </c>
      <c r="GF22">
        <v>68</v>
      </c>
      <c r="GG22">
        <v>413</v>
      </c>
      <c r="GH22">
        <v>15</v>
      </c>
      <c r="GI22">
        <v>4782</v>
      </c>
      <c r="GJ22">
        <v>5781</v>
      </c>
      <c r="GK22">
        <v>5232</v>
      </c>
      <c r="GL22">
        <v>4110</v>
      </c>
      <c r="GM22">
        <v>2959</v>
      </c>
      <c r="GN22">
        <v>2545</v>
      </c>
      <c r="GO22">
        <v>2324</v>
      </c>
      <c r="GP22">
        <v>2258</v>
      </c>
      <c r="GQ22">
        <v>1696</v>
      </c>
      <c r="GR22">
        <v>1310</v>
      </c>
      <c r="GS22">
        <v>962</v>
      </c>
      <c r="GT22">
        <v>900</v>
      </c>
      <c r="GU22">
        <v>686</v>
      </c>
      <c r="GV22">
        <v>601</v>
      </c>
      <c r="GW22">
        <v>385</v>
      </c>
      <c r="GX22">
        <v>282</v>
      </c>
      <c r="GY22">
        <v>170</v>
      </c>
      <c r="GZ22">
        <v>169</v>
      </c>
      <c r="HA22">
        <v>4838</v>
      </c>
      <c r="HB22">
        <v>6208</v>
      </c>
      <c r="HC22">
        <v>5586</v>
      </c>
      <c r="HD22">
        <v>4466</v>
      </c>
      <c r="HE22">
        <v>3951</v>
      </c>
      <c r="HF22">
        <v>3750</v>
      </c>
      <c r="HG22">
        <v>3216</v>
      </c>
      <c r="HH22">
        <v>3047</v>
      </c>
      <c r="HI22">
        <v>2170</v>
      </c>
      <c r="HJ22">
        <v>1897</v>
      </c>
      <c r="HK22">
        <v>1488</v>
      </c>
      <c r="HL22">
        <v>1408</v>
      </c>
      <c r="HM22">
        <v>982</v>
      </c>
      <c r="HN22">
        <v>768</v>
      </c>
      <c r="HO22">
        <v>544</v>
      </c>
      <c r="HP22">
        <v>409</v>
      </c>
      <c r="HQ22">
        <v>230</v>
      </c>
      <c r="HR22">
        <v>269</v>
      </c>
      <c r="HS22">
        <v>20784</v>
      </c>
      <c r="HT22">
        <v>0</v>
      </c>
      <c r="HU22">
        <v>17</v>
      </c>
      <c r="HV22">
        <v>0</v>
      </c>
      <c r="HW22">
        <v>38</v>
      </c>
      <c r="HX22">
        <v>0</v>
      </c>
      <c r="HY22">
        <v>10</v>
      </c>
      <c r="HZ22">
        <v>4</v>
      </c>
      <c r="IA22">
        <v>2071</v>
      </c>
      <c r="IB22">
        <v>3073</v>
      </c>
      <c r="IC22">
        <v>3445</v>
      </c>
      <c r="ID22">
        <v>3613</v>
      </c>
      <c r="IE22">
        <v>3358</v>
      </c>
      <c r="IF22">
        <v>2732</v>
      </c>
      <c r="IG22">
        <v>1815</v>
      </c>
      <c r="IH22">
        <v>1117</v>
      </c>
      <c r="II22">
        <v>1382</v>
      </c>
      <c r="IJ22">
        <v>2342</v>
      </c>
      <c r="IK22">
        <v>9203</v>
      </c>
      <c r="IL22">
        <v>6573</v>
      </c>
      <c r="IM22">
        <v>2852</v>
      </c>
      <c r="IN22">
        <v>1119</v>
      </c>
      <c r="IO22">
        <v>354</v>
      </c>
      <c r="IP22">
        <v>100</v>
      </c>
      <c r="IQ22">
        <v>39</v>
      </c>
      <c r="IR22">
        <v>24</v>
      </c>
      <c r="IS22">
        <v>11952</v>
      </c>
      <c r="IT22">
        <v>7329</v>
      </c>
      <c r="IU22">
        <v>2152</v>
      </c>
      <c r="IV22">
        <v>934</v>
      </c>
      <c r="IW22">
        <v>239</v>
      </c>
      <c r="IX22">
        <v>1679</v>
      </c>
      <c r="IY22">
        <v>6985</v>
      </c>
      <c r="IZ22">
        <v>1269</v>
      </c>
      <c r="JA22">
        <v>73</v>
      </c>
      <c r="JB22">
        <v>86</v>
      </c>
      <c r="JC22">
        <v>1124</v>
      </c>
      <c r="JD22">
        <v>13849</v>
      </c>
      <c r="JE22">
        <v>8757</v>
      </c>
      <c r="JF22">
        <v>0</v>
      </c>
      <c r="JH22" s="28">
        <v>14369.394547652366</v>
      </c>
      <c r="JI22" s="28">
        <v>1682.5408886191933</v>
      </c>
      <c r="JJ22">
        <v>4554</v>
      </c>
      <c r="JK22">
        <v>17103</v>
      </c>
      <c r="JL22">
        <v>947</v>
      </c>
      <c r="JM22">
        <v>2</v>
      </c>
      <c r="JN22">
        <v>1795</v>
      </c>
      <c r="JO22">
        <v>913</v>
      </c>
      <c r="JP22">
        <v>2314</v>
      </c>
      <c r="JQ22">
        <v>9139</v>
      </c>
      <c r="JR22">
        <v>13639</v>
      </c>
      <c r="JS22">
        <v>185</v>
      </c>
      <c r="JT22">
        <v>1234</v>
      </c>
      <c r="JU22">
        <v>10169</v>
      </c>
      <c r="JV22">
        <v>328</v>
      </c>
      <c r="JW22" s="28"/>
      <c r="JX22" s="28"/>
      <c r="JY22" s="28"/>
      <c r="JZ22" s="28"/>
      <c r="KA22" s="28">
        <v>22304.999979699998</v>
      </c>
      <c r="KB22">
        <v>94629</v>
      </c>
      <c r="KC22">
        <v>0</v>
      </c>
      <c r="KD22">
        <v>64</v>
      </c>
      <c r="KE22">
        <v>0</v>
      </c>
      <c r="KF22">
        <v>140</v>
      </c>
      <c r="KG22">
        <v>0</v>
      </c>
      <c r="KH22">
        <v>37</v>
      </c>
      <c r="KI22">
        <v>17</v>
      </c>
      <c r="KJ22">
        <v>19017</v>
      </c>
      <c r="KK22">
        <v>78597</v>
      </c>
      <c r="KL22">
        <v>4123</v>
      </c>
      <c r="KM22">
        <v>3</v>
      </c>
      <c r="KT22">
        <v>13453</v>
      </c>
      <c r="KU22">
        <v>13334</v>
      </c>
      <c r="KV22">
        <v>12512</v>
      </c>
      <c r="KW22">
        <v>351</v>
      </c>
      <c r="KX22">
        <v>49</v>
      </c>
      <c r="KZ22">
        <v>12606</v>
      </c>
      <c r="LA22">
        <v>176</v>
      </c>
      <c r="LB22">
        <v>32</v>
      </c>
      <c r="LD22">
        <v>8160</v>
      </c>
      <c r="LE22">
        <v>8606</v>
      </c>
      <c r="LF22">
        <v>6318</v>
      </c>
      <c r="LG22">
        <v>13544</v>
      </c>
      <c r="LH22">
        <v>60966</v>
      </c>
      <c r="LI22">
        <v>68</v>
      </c>
      <c r="LJ22">
        <v>12186</v>
      </c>
      <c r="LK22">
        <v>573</v>
      </c>
      <c r="LL22">
        <v>3551</v>
      </c>
      <c r="LM22">
        <v>0</v>
      </c>
      <c r="LN22">
        <v>652</v>
      </c>
      <c r="LO22">
        <v>70</v>
      </c>
      <c r="LP22">
        <v>46</v>
      </c>
      <c r="LQ22">
        <v>14154</v>
      </c>
      <c r="LR22">
        <v>394</v>
      </c>
      <c r="LS22">
        <v>3109</v>
      </c>
      <c r="LT22">
        <v>0</v>
      </c>
      <c r="LU22">
        <v>378</v>
      </c>
      <c r="LV22">
        <v>44</v>
      </c>
      <c r="LW22" s="44"/>
      <c r="LX22" s="44"/>
      <c r="LY22" s="44"/>
      <c r="LZ22">
        <v>22606</v>
      </c>
      <c r="MA22">
        <v>101740</v>
      </c>
      <c r="MB22">
        <v>87332</v>
      </c>
      <c r="MC22">
        <v>79368</v>
      </c>
      <c r="MD22" s="26">
        <v>32.578814000000001</v>
      </c>
      <c r="ME22" s="26">
        <v>17.459661999999998</v>
      </c>
      <c r="MF22" s="26">
        <v>86.126694000000001</v>
      </c>
      <c r="MG22" s="26">
        <v>19.178753999999998</v>
      </c>
      <c r="MH22" s="26">
        <v>20.145094</v>
      </c>
      <c r="MI22" s="26">
        <v>2.446253</v>
      </c>
      <c r="MJ22" s="26">
        <v>17.672298999999999</v>
      </c>
      <c r="MK22" s="26">
        <v>38.737502999999997</v>
      </c>
      <c r="ML22" s="26">
        <v>1.3315049999999999</v>
      </c>
      <c r="MM22" s="26">
        <v>95.961248999999995</v>
      </c>
      <c r="MN22" s="26">
        <v>92.059629999999999</v>
      </c>
      <c r="MO22" s="26">
        <v>2.564559</v>
      </c>
      <c r="MP22" t="s">
        <v>1030</v>
      </c>
      <c r="MQ22">
        <v>51</v>
      </c>
      <c r="MR22">
        <v>7</v>
      </c>
    </row>
    <row r="23" spans="1:356">
      <c r="A23" t="s">
        <v>85</v>
      </c>
      <c r="B23" t="s">
        <v>86</v>
      </c>
      <c r="C23">
        <v>7568</v>
      </c>
      <c r="D23">
        <v>10817</v>
      </c>
      <c r="E23">
        <v>13678</v>
      </c>
      <c r="F23">
        <f t="shared" si="0"/>
        <v>2861</v>
      </c>
      <c r="G23" s="26">
        <f t="shared" si="1"/>
        <v>26.44910788573543</v>
      </c>
      <c r="H23">
        <v>6734</v>
      </c>
      <c r="I23">
        <v>6944</v>
      </c>
      <c r="J23">
        <v>9533</v>
      </c>
      <c r="K23">
        <v>4145</v>
      </c>
      <c r="L23">
        <v>1147</v>
      </c>
      <c r="M23">
        <v>1101</v>
      </c>
      <c r="N23">
        <v>1041</v>
      </c>
      <c r="O23">
        <v>794</v>
      </c>
      <c r="P23">
        <v>500</v>
      </c>
      <c r="Q23">
        <v>379</v>
      </c>
      <c r="R23">
        <v>313</v>
      </c>
      <c r="S23">
        <v>318</v>
      </c>
      <c r="T23">
        <v>268</v>
      </c>
      <c r="U23">
        <v>207</v>
      </c>
      <c r="V23">
        <v>155</v>
      </c>
      <c r="W23">
        <v>134</v>
      </c>
      <c r="X23">
        <v>103</v>
      </c>
      <c r="Y23">
        <v>274</v>
      </c>
      <c r="Z23">
        <v>0</v>
      </c>
      <c r="AA23">
        <v>1172</v>
      </c>
      <c r="AB23">
        <v>1194</v>
      </c>
      <c r="AC23">
        <v>962</v>
      </c>
      <c r="AD23">
        <v>775</v>
      </c>
      <c r="AE23">
        <v>505</v>
      </c>
      <c r="AF23">
        <v>439</v>
      </c>
      <c r="AG23">
        <v>386</v>
      </c>
      <c r="AH23">
        <v>325</v>
      </c>
      <c r="AI23">
        <v>261</v>
      </c>
      <c r="AJ23">
        <v>197</v>
      </c>
      <c r="AK23">
        <v>152</v>
      </c>
      <c r="AL23">
        <v>148</v>
      </c>
      <c r="AM23">
        <v>137</v>
      </c>
      <c r="AN23">
        <v>290</v>
      </c>
      <c r="AO23">
        <v>1</v>
      </c>
      <c r="AP23">
        <v>13663</v>
      </c>
      <c r="AQ23">
        <v>5</v>
      </c>
      <c r="AR23">
        <v>0</v>
      </c>
      <c r="AS23">
        <v>3</v>
      </c>
      <c r="AT23">
        <v>7</v>
      </c>
      <c r="AU23">
        <v>12088</v>
      </c>
      <c r="AV23">
        <v>5935</v>
      </c>
      <c r="AW23">
        <v>6153</v>
      </c>
      <c r="AX23">
        <v>5510</v>
      </c>
      <c r="AY23">
        <v>9638</v>
      </c>
      <c r="AZ23">
        <v>3369</v>
      </c>
      <c r="BA23">
        <v>6269</v>
      </c>
      <c r="BB23">
        <v>423</v>
      </c>
      <c r="BC23">
        <v>468</v>
      </c>
      <c r="BD23">
        <v>1070</v>
      </c>
      <c r="BE23">
        <v>1177</v>
      </c>
      <c r="BF23">
        <v>1028</v>
      </c>
      <c r="BG23">
        <v>945</v>
      </c>
      <c r="BH23">
        <v>788</v>
      </c>
      <c r="BI23">
        <v>763</v>
      </c>
      <c r="BJ23">
        <v>495</v>
      </c>
      <c r="BK23">
        <v>495</v>
      </c>
      <c r="BL23">
        <v>374</v>
      </c>
      <c r="BM23">
        <v>432</v>
      </c>
      <c r="BN23">
        <v>311</v>
      </c>
      <c r="BO23">
        <v>381</v>
      </c>
      <c r="BP23">
        <v>316</v>
      </c>
      <c r="BQ23">
        <v>319</v>
      </c>
      <c r="BR23">
        <v>267</v>
      </c>
      <c r="BS23">
        <v>257</v>
      </c>
      <c r="BT23">
        <v>207</v>
      </c>
      <c r="BU23">
        <v>195</v>
      </c>
      <c r="BV23">
        <v>153</v>
      </c>
      <c r="BW23">
        <v>151</v>
      </c>
      <c r="BX23">
        <v>131</v>
      </c>
      <c r="BY23">
        <v>148</v>
      </c>
      <c r="BZ23">
        <v>102</v>
      </c>
      <c r="CA23">
        <v>135</v>
      </c>
      <c r="CB23">
        <v>270</v>
      </c>
      <c r="CC23">
        <v>287</v>
      </c>
      <c r="CD23">
        <v>3862</v>
      </c>
      <c r="CE23">
        <v>3383</v>
      </c>
      <c r="CF23">
        <v>1896</v>
      </c>
      <c r="CG23">
        <v>2524</v>
      </c>
      <c r="CH23">
        <v>1818</v>
      </c>
      <c r="CI23">
        <v>370</v>
      </c>
      <c r="CJ23">
        <v>11956</v>
      </c>
      <c r="CK23">
        <v>1671</v>
      </c>
      <c r="CL23">
        <v>118</v>
      </c>
      <c r="CM23">
        <v>185</v>
      </c>
      <c r="CN23">
        <v>180</v>
      </c>
      <c r="CO23">
        <v>232</v>
      </c>
      <c r="CP23">
        <v>269</v>
      </c>
      <c r="CQ23">
        <v>1204</v>
      </c>
      <c r="CR23">
        <v>1748</v>
      </c>
      <c r="CS23">
        <v>7786</v>
      </c>
      <c r="CT23">
        <v>1217</v>
      </c>
      <c r="CU23">
        <v>465</v>
      </c>
      <c r="CV23">
        <v>122</v>
      </c>
      <c r="CW23">
        <v>99</v>
      </c>
      <c r="CX23">
        <v>1</v>
      </c>
      <c r="CY23">
        <v>1394</v>
      </c>
      <c r="CZ23">
        <v>674</v>
      </c>
      <c r="DA23">
        <v>0</v>
      </c>
      <c r="DB23">
        <v>118</v>
      </c>
      <c r="DC23">
        <v>1</v>
      </c>
      <c r="DD23">
        <v>304</v>
      </c>
      <c r="DE23">
        <v>1140</v>
      </c>
      <c r="DF23">
        <v>731</v>
      </c>
      <c r="DG23">
        <v>1970</v>
      </c>
      <c r="DH23">
        <v>0</v>
      </c>
      <c r="DI23">
        <v>9533</v>
      </c>
      <c r="DJ23">
        <v>0</v>
      </c>
      <c r="DK23">
        <v>0</v>
      </c>
      <c r="DL23">
        <v>0</v>
      </c>
      <c r="DM23">
        <v>7</v>
      </c>
      <c r="DN23">
        <v>7</v>
      </c>
      <c r="DO23">
        <v>2</v>
      </c>
      <c r="DP23">
        <v>2</v>
      </c>
      <c r="DQ23">
        <v>0</v>
      </c>
      <c r="DR23">
        <v>1</v>
      </c>
      <c r="DS23">
        <v>0</v>
      </c>
      <c r="DT23">
        <v>0</v>
      </c>
      <c r="DU23">
        <v>0</v>
      </c>
      <c r="DV23">
        <v>184</v>
      </c>
      <c r="DW23">
        <v>231</v>
      </c>
      <c r="DX23">
        <v>269</v>
      </c>
      <c r="DY23">
        <v>320</v>
      </c>
      <c r="DZ23">
        <v>211</v>
      </c>
      <c r="EA23">
        <v>206</v>
      </c>
      <c r="EB23">
        <v>109</v>
      </c>
      <c r="EC23">
        <v>111</v>
      </c>
      <c r="ED23">
        <v>84</v>
      </c>
      <c r="EE23">
        <v>94</v>
      </c>
      <c r="EF23">
        <v>105</v>
      </c>
      <c r="EG23">
        <v>120</v>
      </c>
      <c r="EH23">
        <v>39</v>
      </c>
      <c r="EI23">
        <v>36</v>
      </c>
      <c r="EJ23">
        <v>370</v>
      </c>
      <c r="EK23">
        <v>525</v>
      </c>
      <c r="EL23">
        <v>363</v>
      </c>
      <c r="EM23">
        <v>187</v>
      </c>
      <c r="EN23">
        <v>154</v>
      </c>
      <c r="EO23">
        <v>201</v>
      </c>
      <c r="EP23">
        <v>61</v>
      </c>
      <c r="EQ23">
        <v>2652</v>
      </c>
      <c r="ER23">
        <v>2614</v>
      </c>
      <c r="ES23">
        <v>38</v>
      </c>
      <c r="ET23">
        <v>1349</v>
      </c>
      <c r="EU23">
        <v>504</v>
      </c>
      <c r="EV23">
        <v>501</v>
      </c>
      <c r="EW23">
        <v>3</v>
      </c>
      <c r="EX23">
        <v>3661</v>
      </c>
      <c r="EY23" s="26">
        <v>86.041263999999998</v>
      </c>
      <c r="EZ23" s="26">
        <v>5.2869120000000001</v>
      </c>
      <c r="FA23" s="26">
        <v>3.513862</v>
      </c>
      <c r="FB23" s="26">
        <v>4.6421659999999996</v>
      </c>
      <c r="FC23" s="26">
        <v>0.51579600000000003</v>
      </c>
      <c r="FD23">
        <v>380</v>
      </c>
      <c r="FE23">
        <v>1296</v>
      </c>
      <c r="FF23">
        <v>188</v>
      </c>
      <c r="FG23">
        <v>710</v>
      </c>
      <c r="FH23">
        <v>0</v>
      </c>
      <c r="FI23">
        <v>523</v>
      </c>
      <c r="FJ23">
        <v>57</v>
      </c>
      <c r="FK23" s="26" t="s">
        <v>359</v>
      </c>
      <c r="FL23" s="26" t="s">
        <v>359</v>
      </c>
      <c r="FM23" s="26" t="s">
        <v>359</v>
      </c>
      <c r="FN23" s="26" t="s">
        <v>359</v>
      </c>
      <c r="FO23" s="28">
        <v>5712</v>
      </c>
      <c r="FP23" s="28">
        <v>1020</v>
      </c>
      <c r="FQ23">
        <v>52</v>
      </c>
      <c r="FR23">
        <v>22</v>
      </c>
      <c r="FS23">
        <v>4</v>
      </c>
      <c r="FT23">
        <v>2</v>
      </c>
      <c r="FU23">
        <v>5382</v>
      </c>
      <c r="FV23">
        <v>4</v>
      </c>
      <c r="FW23">
        <v>10</v>
      </c>
      <c r="FX23">
        <v>2</v>
      </c>
      <c r="FY23">
        <v>6067</v>
      </c>
      <c r="FZ23">
        <v>874</v>
      </c>
      <c r="GA23">
        <v>31</v>
      </c>
      <c r="GB23">
        <v>14</v>
      </c>
      <c r="GC23">
        <v>3</v>
      </c>
      <c r="GD23">
        <v>2</v>
      </c>
      <c r="GE23">
        <v>5733</v>
      </c>
      <c r="GF23">
        <v>1</v>
      </c>
      <c r="GG23">
        <v>10</v>
      </c>
      <c r="GH23">
        <v>3</v>
      </c>
      <c r="GI23">
        <v>831</v>
      </c>
      <c r="GJ23">
        <v>988</v>
      </c>
      <c r="GK23">
        <v>956</v>
      </c>
      <c r="GL23">
        <v>684</v>
      </c>
      <c r="GM23">
        <v>392</v>
      </c>
      <c r="GN23">
        <v>307</v>
      </c>
      <c r="GO23">
        <v>264</v>
      </c>
      <c r="GP23">
        <v>285</v>
      </c>
      <c r="GQ23">
        <v>234</v>
      </c>
      <c r="GR23">
        <v>188</v>
      </c>
      <c r="GS23">
        <v>137</v>
      </c>
      <c r="GT23">
        <v>115</v>
      </c>
      <c r="GU23">
        <v>89</v>
      </c>
      <c r="GV23">
        <v>82</v>
      </c>
      <c r="GW23">
        <v>64</v>
      </c>
      <c r="GX23">
        <v>43</v>
      </c>
      <c r="GY23">
        <v>22</v>
      </c>
      <c r="GZ23">
        <v>31</v>
      </c>
      <c r="HA23">
        <v>877</v>
      </c>
      <c r="HB23">
        <v>1095</v>
      </c>
      <c r="HC23">
        <v>873</v>
      </c>
      <c r="HD23">
        <v>657</v>
      </c>
      <c r="HE23">
        <v>420</v>
      </c>
      <c r="HF23">
        <v>395</v>
      </c>
      <c r="HG23">
        <v>351</v>
      </c>
      <c r="HH23">
        <v>306</v>
      </c>
      <c r="HI23">
        <v>244</v>
      </c>
      <c r="HJ23">
        <v>185</v>
      </c>
      <c r="HK23">
        <v>142</v>
      </c>
      <c r="HL23">
        <v>136</v>
      </c>
      <c r="HM23">
        <v>124</v>
      </c>
      <c r="HN23">
        <v>92</v>
      </c>
      <c r="HO23">
        <v>56</v>
      </c>
      <c r="HP23">
        <v>52</v>
      </c>
      <c r="HQ23">
        <v>23</v>
      </c>
      <c r="HR23">
        <v>38</v>
      </c>
      <c r="HS23">
        <v>2151</v>
      </c>
      <c r="HT23">
        <v>0</v>
      </c>
      <c r="HU23">
        <v>0</v>
      </c>
      <c r="HV23">
        <v>0</v>
      </c>
      <c r="HW23">
        <v>2</v>
      </c>
      <c r="HX23">
        <v>0</v>
      </c>
      <c r="HY23">
        <v>0</v>
      </c>
      <c r="HZ23">
        <v>0</v>
      </c>
      <c r="IA23">
        <v>117</v>
      </c>
      <c r="IB23">
        <v>185</v>
      </c>
      <c r="IC23">
        <v>180</v>
      </c>
      <c r="ID23">
        <v>232</v>
      </c>
      <c r="IE23">
        <v>268</v>
      </c>
      <c r="IF23">
        <v>260</v>
      </c>
      <c r="IG23">
        <v>229</v>
      </c>
      <c r="IH23">
        <v>205</v>
      </c>
      <c r="II23">
        <v>510</v>
      </c>
      <c r="IJ23">
        <v>38</v>
      </c>
      <c r="IK23">
        <v>673</v>
      </c>
      <c r="IL23">
        <v>811</v>
      </c>
      <c r="IM23">
        <v>435</v>
      </c>
      <c r="IN23">
        <v>157</v>
      </c>
      <c r="IO23">
        <v>51</v>
      </c>
      <c r="IP23">
        <v>11</v>
      </c>
      <c r="IQ23">
        <v>5</v>
      </c>
      <c r="IR23">
        <v>4</v>
      </c>
      <c r="IS23">
        <v>811</v>
      </c>
      <c r="IT23">
        <v>850</v>
      </c>
      <c r="IU23">
        <v>364</v>
      </c>
      <c r="IV23">
        <v>111</v>
      </c>
      <c r="IW23">
        <v>49</v>
      </c>
      <c r="IX23">
        <v>297</v>
      </c>
      <c r="IY23">
        <v>832</v>
      </c>
      <c r="IZ23">
        <v>85</v>
      </c>
      <c r="JA23">
        <v>6</v>
      </c>
      <c r="JB23">
        <v>0</v>
      </c>
      <c r="JC23">
        <v>11</v>
      </c>
      <c r="JD23">
        <v>1091</v>
      </c>
      <c r="JE23">
        <v>1094</v>
      </c>
      <c r="JF23">
        <v>1</v>
      </c>
      <c r="JH23" s="28">
        <v>1640.5222978554705</v>
      </c>
      <c r="JI23" s="28">
        <v>126.06758866397614</v>
      </c>
      <c r="JJ23">
        <v>593</v>
      </c>
      <c r="JK23">
        <v>1579</v>
      </c>
      <c r="JL23">
        <v>13</v>
      </c>
      <c r="JM23">
        <v>1</v>
      </c>
      <c r="JN23">
        <v>174</v>
      </c>
      <c r="JO23">
        <v>27</v>
      </c>
      <c r="JP23">
        <v>87</v>
      </c>
      <c r="JQ23">
        <v>503</v>
      </c>
      <c r="JR23">
        <v>839</v>
      </c>
      <c r="JS23">
        <v>16</v>
      </c>
      <c r="JT23">
        <v>12</v>
      </c>
      <c r="JU23">
        <v>1138</v>
      </c>
      <c r="JV23">
        <v>6</v>
      </c>
      <c r="JW23" s="28"/>
      <c r="JX23" s="28"/>
      <c r="JY23" s="28"/>
      <c r="JZ23" s="28"/>
      <c r="KA23" s="28">
        <v>2120.0000038200001</v>
      </c>
      <c r="KB23">
        <v>13439</v>
      </c>
      <c r="KC23">
        <v>0</v>
      </c>
      <c r="KD23">
        <v>0</v>
      </c>
      <c r="KE23">
        <v>0</v>
      </c>
      <c r="KF23">
        <v>6</v>
      </c>
      <c r="KG23">
        <v>0</v>
      </c>
      <c r="KH23">
        <v>0</v>
      </c>
      <c r="KI23">
        <v>0</v>
      </c>
      <c r="KJ23">
        <v>3537</v>
      </c>
      <c r="KK23">
        <v>10005</v>
      </c>
      <c r="KL23">
        <v>77</v>
      </c>
      <c r="KM23">
        <v>2</v>
      </c>
      <c r="KT23">
        <v>2524</v>
      </c>
      <c r="KU23">
        <v>2488</v>
      </c>
      <c r="KV23">
        <v>2205</v>
      </c>
      <c r="KW23">
        <v>218</v>
      </c>
      <c r="KX23">
        <v>21</v>
      </c>
      <c r="KZ23">
        <v>2228</v>
      </c>
      <c r="LA23">
        <v>159</v>
      </c>
      <c r="LB23">
        <v>23</v>
      </c>
      <c r="LD23">
        <v>1319</v>
      </c>
      <c r="LE23">
        <v>1316</v>
      </c>
      <c r="LF23">
        <v>584</v>
      </c>
      <c r="LG23">
        <v>995</v>
      </c>
      <c r="LH23">
        <v>7060</v>
      </c>
      <c r="LI23">
        <v>4</v>
      </c>
      <c r="LJ23">
        <v>643</v>
      </c>
      <c r="LK23">
        <v>192</v>
      </c>
      <c r="LL23">
        <v>741</v>
      </c>
      <c r="LM23">
        <v>1</v>
      </c>
      <c r="LN23">
        <v>495</v>
      </c>
      <c r="LO23">
        <v>37</v>
      </c>
      <c r="LP23">
        <v>7</v>
      </c>
      <c r="LQ23">
        <v>666</v>
      </c>
      <c r="LR23">
        <v>237</v>
      </c>
      <c r="LS23">
        <v>747</v>
      </c>
      <c r="LT23">
        <v>1</v>
      </c>
      <c r="LU23">
        <v>357</v>
      </c>
      <c r="LV23">
        <v>19</v>
      </c>
      <c r="LW23" s="44"/>
      <c r="LX23" s="44"/>
      <c r="LY23" s="44"/>
      <c r="LZ23">
        <v>2186</v>
      </c>
      <c r="MA23">
        <v>13621</v>
      </c>
      <c r="MB23">
        <v>12181</v>
      </c>
      <c r="MC23">
        <v>10900</v>
      </c>
      <c r="MD23" s="26">
        <v>22.365438999999999</v>
      </c>
      <c r="ME23" s="26">
        <v>8.889467999999999</v>
      </c>
      <c r="MF23" s="26">
        <v>59.277619999999999</v>
      </c>
      <c r="MG23" s="26">
        <v>13.847054</v>
      </c>
      <c r="MH23" s="26">
        <v>27.127172999999999</v>
      </c>
      <c r="MI23" s="26">
        <v>3.3851779999999998</v>
      </c>
      <c r="MJ23" s="26">
        <v>34.675205999999996</v>
      </c>
      <c r="MK23" s="26">
        <v>50.045746000000001</v>
      </c>
      <c r="ML23" s="26">
        <v>3.0192129999999997</v>
      </c>
      <c r="MM23" s="26">
        <v>98.764866999999995</v>
      </c>
      <c r="MN23" s="26">
        <v>92.040255999999999</v>
      </c>
      <c r="MO23" s="26">
        <v>2.4472999999999998</v>
      </c>
      <c r="MP23" t="s">
        <v>1030</v>
      </c>
      <c r="MQ23">
        <v>59</v>
      </c>
      <c r="MR23">
        <v>9</v>
      </c>
    </row>
    <row r="24" spans="1:356">
      <c r="A24" t="s">
        <v>87</v>
      </c>
      <c r="B24" t="s">
        <v>88</v>
      </c>
      <c r="C24">
        <v>6965</v>
      </c>
      <c r="D24">
        <v>7332</v>
      </c>
      <c r="E24">
        <v>7472</v>
      </c>
      <c r="F24">
        <f t="shared" si="0"/>
        <v>140</v>
      </c>
      <c r="G24" s="26">
        <f t="shared" si="1"/>
        <v>1.9094380796508545</v>
      </c>
      <c r="H24">
        <v>3735</v>
      </c>
      <c r="I24">
        <v>3737</v>
      </c>
      <c r="J24">
        <v>3498</v>
      </c>
      <c r="K24">
        <v>3974</v>
      </c>
      <c r="L24">
        <v>406</v>
      </c>
      <c r="M24">
        <v>433</v>
      </c>
      <c r="N24">
        <v>447</v>
      </c>
      <c r="O24">
        <v>388</v>
      </c>
      <c r="P24">
        <v>273</v>
      </c>
      <c r="Q24">
        <v>237</v>
      </c>
      <c r="R24">
        <v>232</v>
      </c>
      <c r="S24">
        <v>194</v>
      </c>
      <c r="T24">
        <v>206</v>
      </c>
      <c r="U24">
        <v>213</v>
      </c>
      <c r="V24">
        <v>171</v>
      </c>
      <c r="W24">
        <v>126</v>
      </c>
      <c r="X24">
        <v>123</v>
      </c>
      <c r="Y24">
        <v>286</v>
      </c>
      <c r="Z24">
        <v>0</v>
      </c>
      <c r="AA24">
        <v>394</v>
      </c>
      <c r="AB24">
        <v>384</v>
      </c>
      <c r="AC24">
        <v>377</v>
      </c>
      <c r="AD24">
        <v>411</v>
      </c>
      <c r="AE24">
        <v>289</v>
      </c>
      <c r="AF24">
        <v>277</v>
      </c>
      <c r="AG24">
        <v>256</v>
      </c>
      <c r="AH24">
        <v>232</v>
      </c>
      <c r="AI24">
        <v>224</v>
      </c>
      <c r="AJ24">
        <v>195</v>
      </c>
      <c r="AK24">
        <v>179</v>
      </c>
      <c r="AL24">
        <v>129</v>
      </c>
      <c r="AM24">
        <v>116</v>
      </c>
      <c r="AN24">
        <v>274</v>
      </c>
      <c r="AO24">
        <v>0</v>
      </c>
      <c r="AP24">
        <v>7267</v>
      </c>
      <c r="AQ24">
        <v>197</v>
      </c>
      <c r="AR24">
        <v>4</v>
      </c>
      <c r="AS24">
        <v>2</v>
      </c>
      <c r="AT24">
        <v>2</v>
      </c>
      <c r="AU24">
        <v>5563</v>
      </c>
      <c r="AV24">
        <v>2794</v>
      </c>
      <c r="AW24">
        <v>2769</v>
      </c>
      <c r="AX24">
        <v>4640</v>
      </c>
      <c r="AY24">
        <v>5317</v>
      </c>
      <c r="AZ24">
        <v>3469</v>
      </c>
      <c r="BA24">
        <v>1848</v>
      </c>
      <c r="BB24">
        <v>81</v>
      </c>
      <c r="BC24">
        <v>83</v>
      </c>
      <c r="BD24">
        <v>275</v>
      </c>
      <c r="BE24">
        <v>232</v>
      </c>
      <c r="BF24">
        <v>325</v>
      </c>
      <c r="BG24">
        <v>267</v>
      </c>
      <c r="BH24">
        <v>295</v>
      </c>
      <c r="BI24">
        <v>314</v>
      </c>
      <c r="BJ24">
        <v>216</v>
      </c>
      <c r="BK24">
        <v>224</v>
      </c>
      <c r="BL24">
        <v>192</v>
      </c>
      <c r="BM24">
        <v>230</v>
      </c>
      <c r="BN24">
        <v>198</v>
      </c>
      <c r="BO24">
        <v>211</v>
      </c>
      <c r="BP24">
        <v>173</v>
      </c>
      <c r="BQ24">
        <v>190</v>
      </c>
      <c r="BR24">
        <v>191</v>
      </c>
      <c r="BS24">
        <v>201</v>
      </c>
      <c r="BT24">
        <v>186</v>
      </c>
      <c r="BU24">
        <v>174</v>
      </c>
      <c r="BV24">
        <v>160</v>
      </c>
      <c r="BW24">
        <v>159</v>
      </c>
      <c r="BX24">
        <v>112</v>
      </c>
      <c r="BY24">
        <v>117</v>
      </c>
      <c r="BZ24">
        <v>117</v>
      </c>
      <c r="CA24">
        <v>109</v>
      </c>
      <c r="CB24">
        <v>273</v>
      </c>
      <c r="CC24">
        <v>258</v>
      </c>
      <c r="CD24">
        <v>2744</v>
      </c>
      <c r="CE24">
        <v>2684</v>
      </c>
      <c r="CF24">
        <v>40</v>
      </c>
      <c r="CG24">
        <v>79</v>
      </c>
      <c r="CH24">
        <v>1338</v>
      </c>
      <c r="CI24">
        <v>384</v>
      </c>
      <c r="CJ24">
        <v>5990</v>
      </c>
      <c r="CK24">
        <v>1374</v>
      </c>
      <c r="CL24">
        <v>144</v>
      </c>
      <c r="CM24">
        <v>225</v>
      </c>
      <c r="CN24">
        <v>284</v>
      </c>
      <c r="CO24">
        <v>334</v>
      </c>
      <c r="CP24">
        <v>301</v>
      </c>
      <c r="CQ24">
        <v>434</v>
      </c>
      <c r="CR24">
        <v>1230</v>
      </c>
      <c r="CS24">
        <v>3454</v>
      </c>
      <c r="CT24">
        <v>564</v>
      </c>
      <c r="CU24">
        <v>172</v>
      </c>
      <c r="CV24">
        <v>75</v>
      </c>
      <c r="CW24">
        <v>144</v>
      </c>
      <c r="CX24">
        <v>3</v>
      </c>
      <c r="CY24">
        <v>1093</v>
      </c>
      <c r="CZ24">
        <v>482</v>
      </c>
      <c r="DA24">
        <v>2</v>
      </c>
      <c r="DB24">
        <v>144</v>
      </c>
      <c r="DC24">
        <v>1</v>
      </c>
      <c r="DD24">
        <v>811</v>
      </c>
      <c r="DE24">
        <v>645</v>
      </c>
      <c r="DF24">
        <v>1437</v>
      </c>
      <c r="DG24">
        <v>1081</v>
      </c>
      <c r="DH24">
        <v>3498</v>
      </c>
      <c r="DI24">
        <v>0</v>
      </c>
      <c r="DJ24">
        <v>0</v>
      </c>
      <c r="DK24">
        <v>0</v>
      </c>
      <c r="DL24">
        <v>0</v>
      </c>
      <c r="DM24">
        <v>20</v>
      </c>
      <c r="DN24">
        <v>5</v>
      </c>
      <c r="DO24">
        <v>4</v>
      </c>
      <c r="DP24">
        <v>2</v>
      </c>
      <c r="DQ24">
        <v>1</v>
      </c>
      <c r="DR24">
        <v>0</v>
      </c>
      <c r="DS24">
        <v>0</v>
      </c>
      <c r="DT24">
        <v>0</v>
      </c>
      <c r="DU24">
        <v>0</v>
      </c>
      <c r="DV24">
        <v>163</v>
      </c>
      <c r="DW24">
        <v>187</v>
      </c>
      <c r="DX24">
        <v>374</v>
      </c>
      <c r="DY24">
        <v>411</v>
      </c>
      <c r="DZ24">
        <v>145</v>
      </c>
      <c r="EA24">
        <v>166</v>
      </c>
      <c r="EB24">
        <v>53</v>
      </c>
      <c r="EC24">
        <v>61</v>
      </c>
      <c r="ED24">
        <v>44</v>
      </c>
      <c r="EE24">
        <v>40</v>
      </c>
      <c r="EF24">
        <v>96</v>
      </c>
      <c r="EG24">
        <v>112</v>
      </c>
      <c r="EH24">
        <v>50</v>
      </c>
      <c r="EI24">
        <v>39</v>
      </c>
      <c r="EJ24">
        <v>291</v>
      </c>
      <c r="EK24">
        <v>637</v>
      </c>
      <c r="EL24">
        <v>251</v>
      </c>
      <c r="EM24">
        <v>92</v>
      </c>
      <c r="EN24">
        <v>66</v>
      </c>
      <c r="EO24">
        <v>167</v>
      </c>
      <c r="EP24">
        <v>76</v>
      </c>
      <c r="EQ24">
        <v>1958</v>
      </c>
      <c r="ER24">
        <v>1934</v>
      </c>
      <c r="ES24">
        <v>24</v>
      </c>
      <c r="ET24">
        <v>755</v>
      </c>
      <c r="EU24">
        <v>562</v>
      </c>
      <c r="EV24">
        <v>552</v>
      </c>
      <c r="EW24">
        <v>10</v>
      </c>
      <c r="EX24">
        <v>2245</v>
      </c>
      <c r="EY24" s="26">
        <v>65.969498999999999</v>
      </c>
      <c r="EZ24" s="26">
        <v>6.7538130000000001</v>
      </c>
      <c r="FA24" s="26">
        <v>8.4531589999999994</v>
      </c>
      <c r="FB24" s="26">
        <v>18.344227</v>
      </c>
      <c r="FC24" s="26">
        <v>0.47930299999999998</v>
      </c>
      <c r="FD24">
        <v>237</v>
      </c>
      <c r="FE24">
        <v>653</v>
      </c>
      <c r="FF24">
        <v>68</v>
      </c>
      <c r="FG24">
        <v>717</v>
      </c>
      <c r="FH24">
        <v>0</v>
      </c>
      <c r="FI24">
        <v>527</v>
      </c>
      <c r="FJ24">
        <v>317</v>
      </c>
      <c r="FK24" s="26" t="s">
        <v>359</v>
      </c>
      <c r="FL24" s="26" t="s">
        <v>359</v>
      </c>
      <c r="FM24" s="26" t="s">
        <v>359</v>
      </c>
      <c r="FN24" s="26" t="s">
        <v>359</v>
      </c>
      <c r="FO24" s="28">
        <v>2934</v>
      </c>
      <c r="FP24" s="28">
        <v>800</v>
      </c>
      <c r="FQ24">
        <v>269</v>
      </c>
      <c r="FR24">
        <v>156</v>
      </c>
      <c r="FS24">
        <v>18</v>
      </c>
      <c r="FT24">
        <v>9</v>
      </c>
      <c r="FU24">
        <v>2458</v>
      </c>
      <c r="FV24">
        <v>4</v>
      </c>
      <c r="FW24">
        <v>21</v>
      </c>
      <c r="FX24">
        <v>1</v>
      </c>
      <c r="FY24">
        <v>3140</v>
      </c>
      <c r="FZ24">
        <v>596</v>
      </c>
      <c r="GA24">
        <v>340</v>
      </c>
      <c r="GB24">
        <v>153</v>
      </c>
      <c r="GC24">
        <v>16</v>
      </c>
      <c r="GD24">
        <v>12</v>
      </c>
      <c r="GE24">
        <v>2600</v>
      </c>
      <c r="GF24">
        <v>11</v>
      </c>
      <c r="GG24">
        <v>16</v>
      </c>
      <c r="GH24">
        <v>1</v>
      </c>
      <c r="GI24">
        <v>266</v>
      </c>
      <c r="GJ24">
        <v>363</v>
      </c>
      <c r="GK24">
        <v>399</v>
      </c>
      <c r="GL24">
        <v>312</v>
      </c>
      <c r="GM24">
        <v>196</v>
      </c>
      <c r="GN24">
        <v>179</v>
      </c>
      <c r="GO24">
        <v>170</v>
      </c>
      <c r="GP24">
        <v>154</v>
      </c>
      <c r="GQ24">
        <v>165</v>
      </c>
      <c r="GR24">
        <v>174</v>
      </c>
      <c r="GS24">
        <v>134</v>
      </c>
      <c r="GT24">
        <v>101</v>
      </c>
      <c r="GU24">
        <v>91</v>
      </c>
      <c r="GV24">
        <v>76</v>
      </c>
      <c r="GW24">
        <v>45</v>
      </c>
      <c r="GX24">
        <v>61</v>
      </c>
      <c r="GY24">
        <v>22</v>
      </c>
      <c r="GZ24">
        <v>26</v>
      </c>
      <c r="HA24">
        <v>280</v>
      </c>
      <c r="HB24">
        <v>335</v>
      </c>
      <c r="HC24">
        <v>328</v>
      </c>
      <c r="HD24">
        <v>345</v>
      </c>
      <c r="HE24">
        <v>232</v>
      </c>
      <c r="HF24">
        <v>234</v>
      </c>
      <c r="HG24">
        <v>229</v>
      </c>
      <c r="HH24">
        <v>201</v>
      </c>
      <c r="HI24">
        <v>195</v>
      </c>
      <c r="HJ24">
        <v>171</v>
      </c>
      <c r="HK24">
        <v>153</v>
      </c>
      <c r="HL24">
        <v>113</v>
      </c>
      <c r="HM24">
        <v>90</v>
      </c>
      <c r="HN24">
        <v>76</v>
      </c>
      <c r="HO24">
        <v>60</v>
      </c>
      <c r="HP24">
        <v>48</v>
      </c>
      <c r="HQ24">
        <v>23</v>
      </c>
      <c r="HR24">
        <v>27</v>
      </c>
      <c r="HS24">
        <v>1571</v>
      </c>
      <c r="HT24">
        <v>0</v>
      </c>
      <c r="HU24">
        <v>9</v>
      </c>
      <c r="HV24">
        <v>0</v>
      </c>
      <c r="HW24">
        <v>0</v>
      </c>
      <c r="HX24">
        <v>1</v>
      </c>
      <c r="HY24">
        <v>0</v>
      </c>
      <c r="HZ24">
        <v>1</v>
      </c>
      <c r="IA24">
        <v>143</v>
      </c>
      <c r="IB24">
        <v>225</v>
      </c>
      <c r="IC24">
        <v>284</v>
      </c>
      <c r="ID24">
        <v>334</v>
      </c>
      <c r="IE24">
        <v>301</v>
      </c>
      <c r="IF24">
        <v>206</v>
      </c>
      <c r="IG24">
        <v>109</v>
      </c>
      <c r="IH24">
        <v>52</v>
      </c>
      <c r="II24">
        <v>67</v>
      </c>
      <c r="IJ24">
        <v>79</v>
      </c>
      <c r="IK24">
        <v>319</v>
      </c>
      <c r="IL24">
        <v>502</v>
      </c>
      <c r="IM24">
        <v>454</v>
      </c>
      <c r="IN24">
        <v>238</v>
      </c>
      <c r="IO24">
        <v>92</v>
      </c>
      <c r="IP24">
        <v>31</v>
      </c>
      <c r="IQ24">
        <v>3</v>
      </c>
      <c r="IR24">
        <v>3</v>
      </c>
      <c r="IS24">
        <v>456</v>
      </c>
      <c r="IT24">
        <v>692</v>
      </c>
      <c r="IU24">
        <v>387</v>
      </c>
      <c r="IV24">
        <v>141</v>
      </c>
      <c r="IW24">
        <v>45</v>
      </c>
      <c r="IX24">
        <v>1093</v>
      </c>
      <c r="IY24">
        <v>137</v>
      </c>
      <c r="IZ24">
        <v>0</v>
      </c>
      <c r="JA24">
        <v>7</v>
      </c>
      <c r="JB24">
        <v>0</v>
      </c>
      <c r="JC24">
        <v>45</v>
      </c>
      <c r="JD24">
        <v>1621</v>
      </c>
      <c r="JE24">
        <v>100</v>
      </c>
      <c r="JF24">
        <v>0</v>
      </c>
      <c r="JH24" s="28">
        <v>1312.7626615573315</v>
      </c>
      <c r="JI24" s="28">
        <v>158.21305253626679</v>
      </c>
      <c r="JJ24">
        <v>357</v>
      </c>
      <c r="JK24">
        <v>1290</v>
      </c>
      <c r="JL24">
        <v>74</v>
      </c>
      <c r="JM24">
        <v>0</v>
      </c>
      <c r="JN24">
        <v>916</v>
      </c>
      <c r="JO24">
        <v>391</v>
      </c>
      <c r="JP24">
        <v>100</v>
      </c>
      <c r="JQ24">
        <v>676</v>
      </c>
      <c r="JR24">
        <v>1139</v>
      </c>
      <c r="JS24">
        <v>126</v>
      </c>
      <c r="JT24">
        <v>90</v>
      </c>
      <c r="JU24">
        <v>644</v>
      </c>
      <c r="JV24">
        <v>273</v>
      </c>
      <c r="JW24" s="28"/>
      <c r="JX24" s="28"/>
      <c r="JY24" s="28"/>
      <c r="JZ24" s="28"/>
      <c r="KA24" s="28">
        <v>1650.99999437</v>
      </c>
      <c r="KB24">
        <v>6734</v>
      </c>
      <c r="KC24">
        <v>0</v>
      </c>
      <c r="KD24">
        <v>29</v>
      </c>
      <c r="KE24">
        <v>0</v>
      </c>
      <c r="KF24">
        <v>0</v>
      </c>
      <c r="KG24">
        <v>1</v>
      </c>
      <c r="KH24">
        <v>0</v>
      </c>
      <c r="KI24">
        <v>2</v>
      </c>
      <c r="KJ24">
        <v>1546</v>
      </c>
      <c r="KK24">
        <v>5523</v>
      </c>
      <c r="KL24">
        <v>294</v>
      </c>
      <c r="KM24">
        <v>0</v>
      </c>
      <c r="KT24">
        <v>1258</v>
      </c>
      <c r="KU24">
        <v>1137</v>
      </c>
      <c r="KV24">
        <v>1015</v>
      </c>
      <c r="KW24">
        <v>135</v>
      </c>
      <c r="KX24">
        <v>30</v>
      </c>
      <c r="KZ24">
        <v>881</v>
      </c>
      <c r="LA24">
        <v>154</v>
      </c>
      <c r="LB24">
        <v>37</v>
      </c>
      <c r="LD24">
        <v>710</v>
      </c>
      <c r="LE24">
        <v>610</v>
      </c>
      <c r="LF24">
        <v>278</v>
      </c>
      <c r="LG24">
        <v>464</v>
      </c>
      <c r="LH24">
        <v>5031</v>
      </c>
      <c r="LI24">
        <v>41</v>
      </c>
      <c r="LJ24">
        <v>310</v>
      </c>
      <c r="LK24">
        <v>67</v>
      </c>
      <c r="LL24">
        <v>667</v>
      </c>
      <c r="LM24">
        <v>0</v>
      </c>
      <c r="LN24">
        <v>425</v>
      </c>
      <c r="LO24">
        <v>169</v>
      </c>
      <c r="LP24">
        <v>27</v>
      </c>
      <c r="LQ24">
        <v>269</v>
      </c>
      <c r="LR24">
        <v>63</v>
      </c>
      <c r="LS24">
        <v>811</v>
      </c>
      <c r="LT24">
        <v>1</v>
      </c>
      <c r="LU24">
        <v>430</v>
      </c>
      <c r="LV24">
        <v>148</v>
      </c>
      <c r="LW24" s="44"/>
      <c r="LX24" s="44"/>
      <c r="LY24" s="44"/>
      <c r="LZ24">
        <v>1721</v>
      </c>
      <c r="MA24">
        <v>7363</v>
      </c>
      <c r="MB24">
        <v>7644</v>
      </c>
      <c r="MC24">
        <v>5910</v>
      </c>
      <c r="MD24" s="26">
        <v>14.748559</v>
      </c>
      <c r="ME24" s="26">
        <v>5.7862489999999998</v>
      </c>
      <c r="MF24" s="26">
        <v>40.806996999999996</v>
      </c>
      <c r="MG24" s="26">
        <v>18.683084000000001</v>
      </c>
      <c r="MH24" s="26">
        <v>20.743753999999999</v>
      </c>
      <c r="MI24" s="26">
        <v>1.7431729999999999</v>
      </c>
      <c r="MJ24" s="26">
        <v>7.7861709999999995</v>
      </c>
      <c r="MK24" s="26">
        <v>5.810575</v>
      </c>
      <c r="ML24" s="26">
        <v>4.0674029999999997</v>
      </c>
      <c r="MM24" s="26">
        <v>77.280650999999992</v>
      </c>
      <c r="MN24" s="26">
        <v>46.775130999999995</v>
      </c>
      <c r="MO24" s="26">
        <v>0.73406300000000002</v>
      </c>
      <c r="MP24" t="s">
        <v>1029</v>
      </c>
      <c r="MQ24">
        <v>492</v>
      </c>
      <c r="MR24">
        <v>44</v>
      </c>
    </row>
    <row r="25" spans="1:356">
      <c r="A25" t="s">
        <v>89</v>
      </c>
      <c r="B25" t="s">
        <v>90</v>
      </c>
      <c r="C25">
        <v>27331</v>
      </c>
      <c r="D25">
        <v>36111</v>
      </c>
      <c r="E25">
        <v>47371</v>
      </c>
      <c r="F25">
        <f t="shared" si="0"/>
        <v>11260</v>
      </c>
      <c r="G25" s="26">
        <f t="shared" si="1"/>
        <v>31.181634405028944</v>
      </c>
      <c r="H25">
        <v>23194</v>
      </c>
      <c r="I25">
        <v>24177</v>
      </c>
      <c r="J25">
        <v>4369</v>
      </c>
      <c r="K25">
        <v>43002</v>
      </c>
      <c r="L25">
        <v>3221</v>
      </c>
      <c r="M25">
        <v>3422</v>
      </c>
      <c r="N25">
        <v>3079</v>
      </c>
      <c r="O25">
        <v>2575</v>
      </c>
      <c r="P25">
        <v>2121</v>
      </c>
      <c r="Q25">
        <v>1795</v>
      </c>
      <c r="R25">
        <v>1499</v>
      </c>
      <c r="S25">
        <v>1288</v>
      </c>
      <c r="T25">
        <v>1046</v>
      </c>
      <c r="U25">
        <v>893</v>
      </c>
      <c r="V25">
        <v>646</v>
      </c>
      <c r="W25">
        <v>529</v>
      </c>
      <c r="X25">
        <v>356</v>
      </c>
      <c r="Y25">
        <v>724</v>
      </c>
      <c r="Z25">
        <v>0</v>
      </c>
      <c r="AA25">
        <v>3242</v>
      </c>
      <c r="AB25">
        <v>3424</v>
      </c>
      <c r="AC25">
        <v>3028</v>
      </c>
      <c r="AD25">
        <v>2582</v>
      </c>
      <c r="AE25">
        <v>2292</v>
      </c>
      <c r="AF25">
        <v>2010</v>
      </c>
      <c r="AG25">
        <v>1766</v>
      </c>
      <c r="AH25">
        <v>1458</v>
      </c>
      <c r="AI25">
        <v>1084</v>
      </c>
      <c r="AJ25">
        <v>935</v>
      </c>
      <c r="AK25">
        <v>639</v>
      </c>
      <c r="AL25">
        <v>546</v>
      </c>
      <c r="AM25">
        <v>393</v>
      </c>
      <c r="AN25">
        <v>775</v>
      </c>
      <c r="AO25">
        <v>3</v>
      </c>
      <c r="AP25">
        <v>47347</v>
      </c>
      <c r="AQ25">
        <v>11</v>
      </c>
      <c r="AR25">
        <v>5</v>
      </c>
      <c r="AS25">
        <v>2</v>
      </c>
      <c r="AT25">
        <v>6</v>
      </c>
      <c r="AU25">
        <v>42234</v>
      </c>
      <c r="AV25">
        <v>20735</v>
      </c>
      <c r="AW25">
        <v>21499</v>
      </c>
      <c r="AX25">
        <v>18953</v>
      </c>
      <c r="AY25">
        <v>31788</v>
      </c>
      <c r="AZ25">
        <v>29229</v>
      </c>
      <c r="BA25">
        <v>2559</v>
      </c>
      <c r="BB25">
        <v>1322</v>
      </c>
      <c r="BC25">
        <v>1258</v>
      </c>
      <c r="BD25">
        <v>3293</v>
      </c>
      <c r="BE25">
        <v>3272</v>
      </c>
      <c r="BF25">
        <v>2985</v>
      </c>
      <c r="BG25">
        <v>2934</v>
      </c>
      <c r="BH25">
        <v>2484</v>
      </c>
      <c r="BI25">
        <v>2484</v>
      </c>
      <c r="BJ25">
        <v>2059</v>
      </c>
      <c r="BK25">
        <v>2233</v>
      </c>
      <c r="BL25">
        <v>1758</v>
      </c>
      <c r="BM25">
        <v>1936</v>
      </c>
      <c r="BN25">
        <v>1472</v>
      </c>
      <c r="BO25">
        <v>1710</v>
      </c>
      <c r="BP25">
        <v>1264</v>
      </c>
      <c r="BQ25">
        <v>1417</v>
      </c>
      <c r="BR25">
        <v>1014</v>
      </c>
      <c r="BS25">
        <v>1055</v>
      </c>
      <c r="BT25">
        <v>869</v>
      </c>
      <c r="BU25">
        <v>916</v>
      </c>
      <c r="BV25">
        <v>635</v>
      </c>
      <c r="BW25">
        <v>615</v>
      </c>
      <c r="BX25">
        <v>522</v>
      </c>
      <c r="BY25">
        <v>535</v>
      </c>
      <c r="BZ25">
        <v>348</v>
      </c>
      <c r="CA25">
        <v>384</v>
      </c>
      <c r="CB25">
        <v>710</v>
      </c>
      <c r="CC25">
        <v>750</v>
      </c>
      <c r="CD25">
        <v>9608</v>
      </c>
      <c r="CE25">
        <v>6303</v>
      </c>
      <c r="CF25">
        <v>10333</v>
      </c>
      <c r="CG25">
        <v>14496</v>
      </c>
      <c r="CH25">
        <v>7375</v>
      </c>
      <c r="CI25">
        <v>2128</v>
      </c>
      <c r="CJ25">
        <v>37735</v>
      </c>
      <c r="CK25">
        <v>9546</v>
      </c>
      <c r="CL25">
        <v>548</v>
      </c>
      <c r="CM25">
        <v>993</v>
      </c>
      <c r="CN25">
        <v>1356</v>
      </c>
      <c r="CO25">
        <v>1570</v>
      </c>
      <c r="CP25">
        <v>1481</v>
      </c>
      <c r="CQ25">
        <v>3555</v>
      </c>
      <c r="CR25">
        <v>7565</v>
      </c>
      <c r="CS25">
        <v>26433</v>
      </c>
      <c r="CT25">
        <v>1829</v>
      </c>
      <c r="CU25">
        <v>1020</v>
      </c>
      <c r="CV25">
        <v>293</v>
      </c>
      <c r="CW25">
        <v>630</v>
      </c>
      <c r="CX25">
        <v>8</v>
      </c>
      <c r="CY25">
        <v>7191</v>
      </c>
      <c r="CZ25">
        <v>1758</v>
      </c>
      <c r="DA25">
        <v>6</v>
      </c>
      <c r="DB25">
        <v>548</v>
      </c>
      <c r="DC25">
        <v>0</v>
      </c>
      <c r="DD25">
        <v>1372</v>
      </c>
      <c r="DE25">
        <v>9798</v>
      </c>
      <c r="DF25">
        <v>14202</v>
      </c>
      <c r="DG25">
        <v>17630</v>
      </c>
      <c r="DH25">
        <v>4369</v>
      </c>
      <c r="DI25">
        <v>0</v>
      </c>
      <c r="DJ25">
        <v>0</v>
      </c>
      <c r="DK25">
        <v>0</v>
      </c>
      <c r="DL25">
        <v>0</v>
      </c>
      <c r="DM25">
        <v>25</v>
      </c>
      <c r="DN25">
        <v>59</v>
      </c>
      <c r="DO25">
        <v>40</v>
      </c>
      <c r="DP25">
        <v>20</v>
      </c>
      <c r="DQ25">
        <v>1</v>
      </c>
      <c r="DR25">
        <v>0</v>
      </c>
      <c r="DS25">
        <v>0</v>
      </c>
      <c r="DT25">
        <v>0</v>
      </c>
      <c r="DU25">
        <v>0</v>
      </c>
      <c r="DV25">
        <v>281</v>
      </c>
      <c r="DW25">
        <v>345</v>
      </c>
      <c r="DX25">
        <v>419</v>
      </c>
      <c r="DY25">
        <v>492</v>
      </c>
      <c r="DZ25">
        <v>350</v>
      </c>
      <c r="EA25">
        <v>340</v>
      </c>
      <c r="EB25">
        <v>199</v>
      </c>
      <c r="EC25">
        <v>194</v>
      </c>
      <c r="ED25">
        <v>179</v>
      </c>
      <c r="EE25">
        <v>194</v>
      </c>
      <c r="EF25">
        <v>203</v>
      </c>
      <c r="EG25">
        <v>236</v>
      </c>
      <c r="EH25">
        <v>73</v>
      </c>
      <c r="EI25">
        <v>72</v>
      </c>
      <c r="EJ25">
        <v>455</v>
      </c>
      <c r="EK25">
        <v>690</v>
      </c>
      <c r="EL25">
        <v>530</v>
      </c>
      <c r="EM25">
        <v>276</v>
      </c>
      <c r="EN25">
        <v>255</v>
      </c>
      <c r="EO25">
        <v>317</v>
      </c>
      <c r="EP25">
        <v>113</v>
      </c>
      <c r="EQ25">
        <v>10095</v>
      </c>
      <c r="ER25">
        <v>8778</v>
      </c>
      <c r="ES25">
        <v>1317</v>
      </c>
      <c r="ET25">
        <v>4929</v>
      </c>
      <c r="EU25">
        <v>2195</v>
      </c>
      <c r="EV25">
        <v>1922</v>
      </c>
      <c r="EW25">
        <v>273</v>
      </c>
      <c r="EX25">
        <v>13890</v>
      </c>
      <c r="EY25" s="26">
        <v>83.705357000000006</v>
      </c>
      <c r="EZ25" s="26">
        <v>7.3102679999999998</v>
      </c>
      <c r="FA25" s="26">
        <v>2.8087800000000001</v>
      </c>
      <c r="FB25" s="26">
        <v>5.8872770000000001</v>
      </c>
      <c r="FC25" s="26">
        <v>0.28831800000000002</v>
      </c>
      <c r="FD25">
        <v>2517</v>
      </c>
      <c r="FE25">
        <v>6805</v>
      </c>
      <c r="FF25">
        <v>247</v>
      </c>
      <c r="FG25">
        <v>1961</v>
      </c>
      <c r="FH25">
        <v>2</v>
      </c>
      <c r="FI25">
        <v>577</v>
      </c>
      <c r="FJ25">
        <v>174</v>
      </c>
      <c r="FK25" s="26" t="s">
        <v>359</v>
      </c>
      <c r="FL25" s="26" t="s">
        <v>359</v>
      </c>
      <c r="FM25" s="26" t="s">
        <v>359</v>
      </c>
      <c r="FN25" s="26" t="s">
        <v>359</v>
      </c>
      <c r="FO25" s="28">
        <v>18362</v>
      </c>
      <c r="FP25" s="28">
        <v>4826</v>
      </c>
      <c r="FQ25">
        <v>873</v>
      </c>
      <c r="FR25">
        <v>102</v>
      </c>
      <c r="FS25">
        <v>3</v>
      </c>
      <c r="FT25">
        <v>13</v>
      </c>
      <c r="FU25">
        <v>16924</v>
      </c>
      <c r="FV25">
        <v>40</v>
      </c>
      <c r="FW25">
        <v>404</v>
      </c>
      <c r="FX25">
        <v>6</v>
      </c>
      <c r="FY25">
        <v>19368</v>
      </c>
      <c r="FZ25">
        <v>4802</v>
      </c>
      <c r="GA25">
        <v>877</v>
      </c>
      <c r="GB25">
        <v>81</v>
      </c>
      <c r="GC25">
        <v>2</v>
      </c>
      <c r="GD25">
        <v>7</v>
      </c>
      <c r="GE25">
        <v>17971</v>
      </c>
      <c r="GF25">
        <v>45</v>
      </c>
      <c r="GG25">
        <v>393</v>
      </c>
      <c r="GH25">
        <v>7</v>
      </c>
      <c r="GI25">
        <v>2239</v>
      </c>
      <c r="GJ25">
        <v>2839</v>
      </c>
      <c r="GK25">
        <v>2577</v>
      </c>
      <c r="GL25">
        <v>2090</v>
      </c>
      <c r="GM25">
        <v>1555</v>
      </c>
      <c r="GN25">
        <v>1367</v>
      </c>
      <c r="GO25">
        <v>1200</v>
      </c>
      <c r="GP25">
        <v>1061</v>
      </c>
      <c r="GQ25">
        <v>865</v>
      </c>
      <c r="GR25">
        <v>741</v>
      </c>
      <c r="GS25">
        <v>537</v>
      </c>
      <c r="GT25">
        <v>423</v>
      </c>
      <c r="GU25">
        <v>285</v>
      </c>
      <c r="GV25">
        <v>222</v>
      </c>
      <c r="GW25">
        <v>116</v>
      </c>
      <c r="GX25">
        <v>97</v>
      </c>
      <c r="GY25">
        <v>67</v>
      </c>
      <c r="GZ25">
        <v>81</v>
      </c>
      <c r="HA25">
        <v>2224</v>
      </c>
      <c r="HB25">
        <v>2781</v>
      </c>
      <c r="HC25">
        <v>2541</v>
      </c>
      <c r="HD25">
        <v>1962</v>
      </c>
      <c r="HE25">
        <v>1751</v>
      </c>
      <c r="HF25">
        <v>1653</v>
      </c>
      <c r="HG25">
        <v>1491</v>
      </c>
      <c r="HH25">
        <v>1255</v>
      </c>
      <c r="HI25">
        <v>918</v>
      </c>
      <c r="HJ25">
        <v>805</v>
      </c>
      <c r="HK25">
        <v>536</v>
      </c>
      <c r="HL25">
        <v>472</v>
      </c>
      <c r="HM25">
        <v>339</v>
      </c>
      <c r="HN25">
        <v>239</v>
      </c>
      <c r="HO25">
        <v>142</v>
      </c>
      <c r="HP25">
        <v>99</v>
      </c>
      <c r="HQ25">
        <v>80</v>
      </c>
      <c r="HR25">
        <v>78</v>
      </c>
      <c r="HS25">
        <v>9096</v>
      </c>
      <c r="HT25">
        <v>0</v>
      </c>
      <c r="HU25">
        <v>4</v>
      </c>
      <c r="HV25">
        <v>0</v>
      </c>
      <c r="HW25">
        <v>5</v>
      </c>
      <c r="HX25">
        <v>0</v>
      </c>
      <c r="HY25">
        <v>0</v>
      </c>
      <c r="HZ25">
        <v>9</v>
      </c>
      <c r="IA25">
        <v>548</v>
      </c>
      <c r="IB25">
        <v>993</v>
      </c>
      <c r="IC25">
        <v>1356</v>
      </c>
      <c r="ID25">
        <v>1569</v>
      </c>
      <c r="IE25">
        <v>1479</v>
      </c>
      <c r="IF25">
        <v>1218</v>
      </c>
      <c r="IG25">
        <v>893</v>
      </c>
      <c r="IH25">
        <v>579</v>
      </c>
      <c r="II25">
        <v>863</v>
      </c>
      <c r="IJ25">
        <v>700</v>
      </c>
      <c r="IK25">
        <v>3745</v>
      </c>
      <c r="IL25">
        <v>2802</v>
      </c>
      <c r="IM25">
        <v>1192</v>
      </c>
      <c r="IN25">
        <v>752</v>
      </c>
      <c r="IO25">
        <v>202</v>
      </c>
      <c r="IP25">
        <v>63</v>
      </c>
      <c r="IQ25">
        <v>21</v>
      </c>
      <c r="IR25">
        <v>18</v>
      </c>
      <c r="IS25">
        <v>4231</v>
      </c>
      <c r="IT25">
        <v>3223</v>
      </c>
      <c r="IU25">
        <v>1128</v>
      </c>
      <c r="IV25">
        <v>752</v>
      </c>
      <c r="IW25">
        <v>161</v>
      </c>
      <c r="IX25">
        <v>1180</v>
      </c>
      <c r="IY25">
        <v>2829</v>
      </c>
      <c r="IZ25">
        <v>366</v>
      </c>
      <c r="JA25">
        <v>43</v>
      </c>
      <c r="JB25">
        <v>0</v>
      </c>
      <c r="JC25">
        <v>140</v>
      </c>
      <c r="JD25">
        <v>6047</v>
      </c>
      <c r="JE25">
        <v>3448</v>
      </c>
      <c r="JF25">
        <v>3</v>
      </c>
      <c r="JH25" s="28">
        <v>5840.2072671595752</v>
      </c>
      <c r="JI25" s="28">
        <v>968.17504389387148</v>
      </c>
      <c r="JJ25">
        <v>3231</v>
      </c>
      <c r="JK25">
        <v>6152</v>
      </c>
      <c r="JL25">
        <v>112</v>
      </c>
      <c r="JM25">
        <v>3</v>
      </c>
      <c r="JN25">
        <v>904</v>
      </c>
      <c r="JO25">
        <v>206</v>
      </c>
      <c r="JP25">
        <v>471</v>
      </c>
      <c r="JQ25">
        <v>2779</v>
      </c>
      <c r="JR25">
        <v>4178</v>
      </c>
      <c r="JS25">
        <v>85</v>
      </c>
      <c r="JT25">
        <v>258</v>
      </c>
      <c r="JU25">
        <v>3150</v>
      </c>
      <c r="JV25">
        <v>108</v>
      </c>
      <c r="JW25" s="28"/>
      <c r="JX25" s="28"/>
      <c r="JY25" s="28"/>
      <c r="JZ25" s="28"/>
      <c r="KA25" s="28">
        <v>9191.9999896200006</v>
      </c>
      <c r="KB25">
        <v>45508</v>
      </c>
      <c r="KC25">
        <v>0</v>
      </c>
      <c r="KD25">
        <v>17</v>
      </c>
      <c r="KE25">
        <v>0</v>
      </c>
      <c r="KF25">
        <v>33</v>
      </c>
      <c r="KG25">
        <v>0</v>
      </c>
      <c r="KH25">
        <v>0</v>
      </c>
      <c r="KI25">
        <v>35</v>
      </c>
      <c r="KJ25">
        <v>15572</v>
      </c>
      <c r="KK25">
        <v>31129</v>
      </c>
      <c r="KL25">
        <v>541</v>
      </c>
      <c r="KM25">
        <v>6</v>
      </c>
      <c r="KT25">
        <v>6158</v>
      </c>
      <c r="KU25">
        <v>5642</v>
      </c>
      <c r="KV25">
        <v>5558</v>
      </c>
      <c r="KW25">
        <v>255</v>
      </c>
      <c r="KX25">
        <v>51</v>
      </c>
      <c r="KZ25">
        <v>5155</v>
      </c>
      <c r="LA25">
        <v>191</v>
      </c>
      <c r="LB25">
        <v>35</v>
      </c>
      <c r="LD25">
        <v>3804</v>
      </c>
      <c r="LE25">
        <v>3792</v>
      </c>
      <c r="LF25">
        <v>2671</v>
      </c>
      <c r="LG25">
        <v>5044</v>
      </c>
      <c r="LH25">
        <v>27952</v>
      </c>
      <c r="LI25">
        <v>87</v>
      </c>
      <c r="LJ25">
        <v>5610</v>
      </c>
      <c r="LK25">
        <v>296</v>
      </c>
      <c r="LL25">
        <v>2282</v>
      </c>
      <c r="LM25">
        <v>5</v>
      </c>
      <c r="LN25">
        <v>630</v>
      </c>
      <c r="LO25">
        <v>102</v>
      </c>
      <c r="LP25">
        <v>105</v>
      </c>
      <c r="LQ25">
        <v>5484</v>
      </c>
      <c r="LR25">
        <v>187</v>
      </c>
      <c r="LS25">
        <v>1593</v>
      </c>
      <c r="LT25">
        <v>0</v>
      </c>
      <c r="LU25">
        <v>379</v>
      </c>
      <c r="LV25">
        <v>68</v>
      </c>
      <c r="LW25" s="44"/>
      <c r="LX25" s="44"/>
      <c r="LY25" s="44"/>
      <c r="LZ25">
        <v>9498</v>
      </c>
      <c r="MA25">
        <v>47248</v>
      </c>
      <c r="MB25">
        <v>39648</v>
      </c>
      <c r="MC25">
        <v>35588</v>
      </c>
      <c r="MD25" s="26">
        <v>27.600887</v>
      </c>
      <c r="ME25" s="26">
        <v>24.620034999999998</v>
      </c>
      <c r="MF25" s="26">
        <v>80.130223000000001</v>
      </c>
      <c r="MG25" s="26">
        <v>20.324670999999999</v>
      </c>
      <c r="MH25" s="26">
        <v>34.017688</v>
      </c>
      <c r="MI25" s="26">
        <v>4.5272689999999995</v>
      </c>
      <c r="MJ25" s="26">
        <v>19.151399999999999</v>
      </c>
      <c r="MK25" s="26">
        <v>36.302378999999995</v>
      </c>
      <c r="ML25" s="26">
        <v>3.2217309999999997</v>
      </c>
      <c r="MM25" s="26">
        <v>97.831121999999993</v>
      </c>
      <c r="MN25" s="26">
        <v>90.482207000000002</v>
      </c>
      <c r="MO25" s="26">
        <v>2.8770149999999997</v>
      </c>
      <c r="MP25" t="s">
        <v>1030</v>
      </c>
      <c r="MQ25">
        <v>32</v>
      </c>
      <c r="MR25">
        <v>5</v>
      </c>
    </row>
    <row r="26" spans="1:356">
      <c r="A26" t="s">
        <v>91</v>
      </c>
      <c r="B26" t="s">
        <v>92</v>
      </c>
      <c r="C26">
        <v>60620</v>
      </c>
      <c r="D26">
        <v>87603</v>
      </c>
      <c r="E26">
        <v>112075</v>
      </c>
      <c r="F26">
        <f t="shared" si="0"/>
        <v>24472</v>
      </c>
      <c r="G26" s="26">
        <f t="shared" si="1"/>
        <v>27.935116377293028</v>
      </c>
      <c r="H26">
        <v>55166</v>
      </c>
      <c r="I26">
        <v>56909</v>
      </c>
      <c r="J26">
        <v>66584</v>
      </c>
      <c r="K26">
        <v>45491</v>
      </c>
      <c r="L26">
        <v>5058</v>
      </c>
      <c r="M26">
        <v>5584</v>
      </c>
      <c r="N26">
        <v>5459</v>
      </c>
      <c r="O26">
        <v>4941</v>
      </c>
      <c r="P26">
        <v>4433</v>
      </c>
      <c r="Q26">
        <v>4302</v>
      </c>
      <c r="R26">
        <v>4166</v>
      </c>
      <c r="S26">
        <v>4183</v>
      </c>
      <c r="T26">
        <v>3838</v>
      </c>
      <c r="U26">
        <v>3091</v>
      </c>
      <c r="V26">
        <v>2624</v>
      </c>
      <c r="W26">
        <v>1998</v>
      </c>
      <c r="X26">
        <v>1732</v>
      </c>
      <c r="Y26">
        <v>3565</v>
      </c>
      <c r="Z26">
        <v>192</v>
      </c>
      <c r="AA26">
        <v>4863</v>
      </c>
      <c r="AB26">
        <v>5512</v>
      </c>
      <c r="AC26">
        <v>5258</v>
      </c>
      <c r="AD26">
        <v>4867</v>
      </c>
      <c r="AE26">
        <v>4714</v>
      </c>
      <c r="AF26">
        <v>4662</v>
      </c>
      <c r="AG26">
        <v>4716</v>
      </c>
      <c r="AH26">
        <v>4785</v>
      </c>
      <c r="AI26">
        <v>4109</v>
      </c>
      <c r="AJ26">
        <v>3354</v>
      </c>
      <c r="AK26">
        <v>2617</v>
      </c>
      <c r="AL26">
        <v>2146</v>
      </c>
      <c r="AM26">
        <v>1680</v>
      </c>
      <c r="AN26">
        <v>3434</v>
      </c>
      <c r="AO26">
        <v>192</v>
      </c>
      <c r="AP26">
        <v>108381</v>
      </c>
      <c r="AQ26">
        <v>3105</v>
      </c>
      <c r="AR26">
        <v>34</v>
      </c>
      <c r="AS26">
        <v>142</v>
      </c>
      <c r="AT26">
        <v>413</v>
      </c>
      <c r="AU26">
        <v>4139</v>
      </c>
      <c r="AV26">
        <v>2044</v>
      </c>
      <c r="AW26">
        <v>2095</v>
      </c>
      <c r="AX26">
        <v>2656</v>
      </c>
      <c r="AY26">
        <v>3391</v>
      </c>
      <c r="AZ26">
        <v>2072</v>
      </c>
      <c r="BA26">
        <v>1319</v>
      </c>
      <c r="BB26">
        <v>65</v>
      </c>
      <c r="BC26">
        <v>51</v>
      </c>
      <c r="BD26">
        <v>166</v>
      </c>
      <c r="BE26">
        <v>160</v>
      </c>
      <c r="BF26">
        <v>150</v>
      </c>
      <c r="BG26">
        <v>159</v>
      </c>
      <c r="BH26">
        <v>152</v>
      </c>
      <c r="BI26">
        <v>193</v>
      </c>
      <c r="BJ26">
        <v>180</v>
      </c>
      <c r="BK26">
        <v>198</v>
      </c>
      <c r="BL26">
        <v>211</v>
      </c>
      <c r="BM26">
        <v>229</v>
      </c>
      <c r="BN26">
        <v>214</v>
      </c>
      <c r="BO26">
        <v>222</v>
      </c>
      <c r="BP26">
        <v>174</v>
      </c>
      <c r="BQ26">
        <v>213</v>
      </c>
      <c r="BR26">
        <v>159</v>
      </c>
      <c r="BS26">
        <v>132</v>
      </c>
      <c r="BT26">
        <v>115</v>
      </c>
      <c r="BU26">
        <v>142</v>
      </c>
      <c r="BV26">
        <v>145</v>
      </c>
      <c r="BW26">
        <v>114</v>
      </c>
      <c r="BX26">
        <v>93</v>
      </c>
      <c r="BY26">
        <v>77</v>
      </c>
      <c r="BZ26">
        <v>70</v>
      </c>
      <c r="CA26">
        <v>70</v>
      </c>
      <c r="CB26">
        <v>150</v>
      </c>
      <c r="CC26">
        <v>135</v>
      </c>
      <c r="CD26">
        <v>2011</v>
      </c>
      <c r="CE26">
        <v>2003</v>
      </c>
      <c r="CF26">
        <v>29</v>
      </c>
      <c r="CG26">
        <v>90</v>
      </c>
      <c r="CH26">
        <v>21012</v>
      </c>
      <c r="CI26">
        <v>8635</v>
      </c>
      <c r="CJ26">
        <v>81763</v>
      </c>
      <c r="CK26">
        <v>30064</v>
      </c>
      <c r="CL26">
        <v>2884</v>
      </c>
      <c r="CM26">
        <v>5006</v>
      </c>
      <c r="CN26">
        <v>5948</v>
      </c>
      <c r="CO26">
        <v>7059</v>
      </c>
      <c r="CP26">
        <v>4423</v>
      </c>
      <c r="CQ26">
        <v>4327</v>
      </c>
      <c r="CR26">
        <v>20974</v>
      </c>
      <c r="CS26">
        <v>45367</v>
      </c>
      <c r="CT26">
        <v>7765</v>
      </c>
      <c r="CU26">
        <v>2762</v>
      </c>
      <c r="CV26">
        <v>1316</v>
      </c>
      <c r="CW26">
        <v>3372</v>
      </c>
      <c r="CX26">
        <v>338</v>
      </c>
      <c r="CY26">
        <v>19391</v>
      </c>
      <c r="CZ26">
        <v>7044</v>
      </c>
      <c r="DA26">
        <v>166</v>
      </c>
      <c r="DB26">
        <v>2884</v>
      </c>
      <c r="DC26">
        <v>59</v>
      </c>
      <c r="DD26">
        <v>3511</v>
      </c>
      <c r="DE26">
        <v>3930</v>
      </c>
      <c r="DF26">
        <v>6059</v>
      </c>
      <c r="DG26">
        <v>31991</v>
      </c>
      <c r="DH26">
        <v>2661</v>
      </c>
      <c r="DI26">
        <v>7992</v>
      </c>
      <c r="DJ26">
        <v>0</v>
      </c>
      <c r="DK26">
        <v>55931</v>
      </c>
      <c r="DL26">
        <v>0</v>
      </c>
      <c r="DM26">
        <v>256</v>
      </c>
      <c r="DN26">
        <v>26</v>
      </c>
      <c r="DO26">
        <v>15</v>
      </c>
      <c r="DP26">
        <v>27</v>
      </c>
      <c r="DQ26">
        <v>1</v>
      </c>
      <c r="DR26">
        <v>1</v>
      </c>
      <c r="DS26">
        <v>0</v>
      </c>
      <c r="DT26">
        <v>1</v>
      </c>
      <c r="DU26">
        <v>0</v>
      </c>
      <c r="DV26">
        <v>2571</v>
      </c>
      <c r="DW26">
        <v>2813</v>
      </c>
      <c r="DX26">
        <v>3297</v>
      </c>
      <c r="DY26">
        <v>3748</v>
      </c>
      <c r="DZ26">
        <v>1491</v>
      </c>
      <c r="EA26">
        <v>1214</v>
      </c>
      <c r="EB26">
        <v>788</v>
      </c>
      <c r="EC26">
        <v>610</v>
      </c>
      <c r="ED26">
        <v>690</v>
      </c>
      <c r="EE26">
        <v>676</v>
      </c>
      <c r="EF26">
        <v>844</v>
      </c>
      <c r="EG26">
        <v>955</v>
      </c>
      <c r="EH26">
        <v>509</v>
      </c>
      <c r="EI26">
        <v>437</v>
      </c>
      <c r="EJ26">
        <v>3225</v>
      </c>
      <c r="EK26">
        <v>4170</v>
      </c>
      <c r="EL26">
        <v>1592</v>
      </c>
      <c r="EM26">
        <v>769</v>
      </c>
      <c r="EN26">
        <v>809</v>
      </c>
      <c r="EO26">
        <v>1052</v>
      </c>
      <c r="EP26">
        <v>529</v>
      </c>
      <c r="EQ26">
        <v>32670</v>
      </c>
      <c r="ER26">
        <v>31979</v>
      </c>
      <c r="ES26">
        <v>691</v>
      </c>
      <c r="ET26">
        <v>9216</v>
      </c>
      <c r="EU26">
        <v>19409</v>
      </c>
      <c r="EV26">
        <v>19095</v>
      </c>
      <c r="EW26">
        <v>314</v>
      </c>
      <c r="EX26">
        <v>24656</v>
      </c>
      <c r="EY26" s="26">
        <v>15.004066</v>
      </c>
      <c r="EZ26" s="26">
        <v>16.876552</v>
      </c>
      <c r="FA26" s="26">
        <v>18.913869999999999</v>
      </c>
      <c r="FB26" s="26">
        <v>47.682468999999998</v>
      </c>
      <c r="FC26" s="26">
        <v>1.5230429999999999</v>
      </c>
      <c r="FD26">
        <v>3865</v>
      </c>
      <c r="FE26">
        <v>12611</v>
      </c>
      <c r="FF26">
        <v>1483</v>
      </c>
      <c r="FG26">
        <v>11477</v>
      </c>
      <c r="FH26">
        <v>51</v>
      </c>
      <c r="FI26">
        <v>11302</v>
      </c>
      <c r="FJ26">
        <v>11258</v>
      </c>
      <c r="FK26" s="26" t="s">
        <v>359</v>
      </c>
      <c r="FL26" s="26" t="s">
        <v>359</v>
      </c>
      <c r="FM26" s="26" t="s">
        <v>359</v>
      </c>
      <c r="FN26" s="26" t="s">
        <v>359</v>
      </c>
      <c r="FO26" s="28">
        <v>30875</v>
      </c>
      <c r="FP26" s="28">
        <v>24090</v>
      </c>
      <c r="FQ26">
        <v>11197</v>
      </c>
      <c r="FR26">
        <v>2957</v>
      </c>
      <c r="FS26">
        <v>678</v>
      </c>
      <c r="FT26">
        <v>368</v>
      </c>
      <c r="FU26">
        <v>14072</v>
      </c>
      <c r="FV26">
        <v>1183</v>
      </c>
      <c r="FW26">
        <v>346</v>
      </c>
      <c r="FX26">
        <v>201</v>
      </c>
      <c r="FY26">
        <v>33342</v>
      </c>
      <c r="FZ26">
        <v>23362</v>
      </c>
      <c r="GA26">
        <v>11311</v>
      </c>
      <c r="GB26">
        <v>3449</v>
      </c>
      <c r="GC26">
        <v>840</v>
      </c>
      <c r="GD26">
        <v>374</v>
      </c>
      <c r="GE26">
        <v>15748</v>
      </c>
      <c r="GF26">
        <v>1149</v>
      </c>
      <c r="GG26">
        <v>352</v>
      </c>
      <c r="GH26">
        <v>205</v>
      </c>
      <c r="GI26">
        <v>2880</v>
      </c>
      <c r="GJ26">
        <v>3309</v>
      </c>
      <c r="GK26">
        <v>3250</v>
      </c>
      <c r="GL26">
        <v>2810</v>
      </c>
      <c r="GM26">
        <v>2258</v>
      </c>
      <c r="GN26">
        <v>2261</v>
      </c>
      <c r="GO26">
        <v>2311</v>
      </c>
      <c r="GP26">
        <v>2442</v>
      </c>
      <c r="GQ26">
        <v>2161</v>
      </c>
      <c r="GR26">
        <v>1651</v>
      </c>
      <c r="GS26">
        <v>1367</v>
      </c>
      <c r="GT26">
        <v>1105</v>
      </c>
      <c r="GU26">
        <v>963</v>
      </c>
      <c r="GV26">
        <v>774</v>
      </c>
      <c r="GW26">
        <v>550</v>
      </c>
      <c r="GX26">
        <v>375</v>
      </c>
      <c r="GY26">
        <v>234</v>
      </c>
      <c r="GZ26">
        <v>174</v>
      </c>
      <c r="HA26">
        <v>2731</v>
      </c>
      <c r="HB26">
        <v>3245</v>
      </c>
      <c r="HC26">
        <v>3079</v>
      </c>
      <c r="HD26">
        <v>2808</v>
      </c>
      <c r="HE26">
        <v>2596</v>
      </c>
      <c r="HF26">
        <v>2684</v>
      </c>
      <c r="HG26">
        <v>2830</v>
      </c>
      <c r="HH26">
        <v>2939</v>
      </c>
      <c r="HI26">
        <v>2507</v>
      </c>
      <c r="HJ26">
        <v>1998</v>
      </c>
      <c r="HK26">
        <v>1575</v>
      </c>
      <c r="HL26">
        <v>1259</v>
      </c>
      <c r="HM26">
        <v>996</v>
      </c>
      <c r="HN26">
        <v>830</v>
      </c>
      <c r="HO26">
        <v>507</v>
      </c>
      <c r="HP26">
        <v>377</v>
      </c>
      <c r="HQ26">
        <v>198</v>
      </c>
      <c r="HR26">
        <v>183</v>
      </c>
      <c r="HS26">
        <v>24528</v>
      </c>
      <c r="HT26">
        <v>1003</v>
      </c>
      <c r="HU26">
        <v>134</v>
      </c>
      <c r="HV26">
        <v>0</v>
      </c>
      <c r="HW26">
        <v>38</v>
      </c>
      <c r="HX26">
        <v>0</v>
      </c>
      <c r="HY26">
        <v>4</v>
      </c>
      <c r="HZ26">
        <v>10</v>
      </c>
      <c r="IA26">
        <v>2876</v>
      </c>
      <c r="IB26">
        <v>5003</v>
      </c>
      <c r="IC26">
        <v>5938</v>
      </c>
      <c r="ID26">
        <v>7048</v>
      </c>
      <c r="IE26">
        <v>4418</v>
      </c>
      <c r="IF26">
        <v>2108</v>
      </c>
      <c r="IG26">
        <v>1049</v>
      </c>
      <c r="IH26">
        <v>537</v>
      </c>
      <c r="II26">
        <v>628</v>
      </c>
      <c r="IJ26">
        <v>4340</v>
      </c>
      <c r="IK26">
        <v>7066</v>
      </c>
      <c r="IL26">
        <v>9367</v>
      </c>
      <c r="IM26">
        <v>5209</v>
      </c>
      <c r="IN26">
        <v>2331</v>
      </c>
      <c r="IO26">
        <v>800</v>
      </c>
      <c r="IP26">
        <v>217</v>
      </c>
      <c r="IQ26">
        <v>111</v>
      </c>
      <c r="IR26">
        <v>63</v>
      </c>
      <c r="IS26">
        <v>12682</v>
      </c>
      <c r="IT26">
        <v>12136</v>
      </c>
      <c r="IU26">
        <v>3731</v>
      </c>
      <c r="IV26">
        <v>767</v>
      </c>
      <c r="IW26">
        <v>188</v>
      </c>
      <c r="IX26">
        <v>15137</v>
      </c>
      <c r="IY26">
        <v>7435</v>
      </c>
      <c r="IZ26">
        <v>85</v>
      </c>
      <c r="JA26">
        <v>110</v>
      </c>
      <c r="JB26">
        <v>1635</v>
      </c>
      <c r="JC26">
        <v>487</v>
      </c>
      <c r="JD26">
        <v>29037</v>
      </c>
      <c r="JE26">
        <v>466</v>
      </c>
      <c r="JF26">
        <v>102</v>
      </c>
      <c r="JH26" s="28">
        <v>20403.586623247167</v>
      </c>
      <c r="JI26" s="28">
        <v>863.3469212458258</v>
      </c>
      <c r="JJ26">
        <v>1723</v>
      </c>
      <c r="JK26">
        <v>21893</v>
      </c>
      <c r="JL26">
        <v>5888</v>
      </c>
      <c r="JM26">
        <v>101</v>
      </c>
      <c r="JN26">
        <v>24491</v>
      </c>
      <c r="JO26">
        <v>17164</v>
      </c>
      <c r="JP26">
        <v>7511</v>
      </c>
      <c r="JQ26">
        <v>17394</v>
      </c>
      <c r="JR26">
        <v>26333</v>
      </c>
      <c r="JS26">
        <v>6520</v>
      </c>
      <c r="JT26">
        <v>3595</v>
      </c>
      <c r="JU26">
        <v>25434</v>
      </c>
      <c r="JV26">
        <v>8646</v>
      </c>
      <c r="JW26" s="28"/>
      <c r="JX26" s="28"/>
      <c r="JY26" s="28"/>
      <c r="JZ26" s="28"/>
      <c r="KA26" s="28">
        <v>29398.000063700001</v>
      </c>
      <c r="KB26">
        <v>94049</v>
      </c>
      <c r="KC26">
        <v>2977</v>
      </c>
      <c r="KD26">
        <v>450</v>
      </c>
      <c r="KE26">
        <v>0</v>
      </c>
      <c r="KF26">
        <v>132</v>
      </c>
      <c r="KG26">
        <v>0</v>
      </c>
      <c r="KH26">
        <v>12</v>
      </c>
      <c r="KI26">
        <v>32</v>
      </c>
      <c r="KJ26">
        <v>6804</v>
      </c>
      <c r="KK26">
        <v>84287</v>
      </c>
      <c r="KL26">
        <v>20219</v>
      </c>
      <c r="KM26">
        <v>373</v>
      </c>
      <c r="KT26">
        <v>15911</v>
      </c>
      <c r="KU26">
        <v>15296</v>
      </c>
      <c r="KV26">
        <v>12253</v>
      </c>
      <c r="KW26">
        <v>2097</v>
      </c>
      <c r="KX26">
        <v>1156</v>
      </c>
      <c r="KZ26">
        <v>11792</v>
      </c>
      <c r="LA26">
        <v>1997</v>
      </c>
      <c r="LB26">
        <v>1131</v>
      </c>
      <c r="LD26">
        <v>8398</v>
      </c>
      <c r="LE26">
        <v>8362</v>
      </c>
      <c r="LF26">
        <v>3071</v>
      </c>
      <c r="LG26">
        <v>4204</v>
      </c>
      <c r="LH26">
        <v>79957</v>
      </c>
      <c r="LI26">
        <v>75</v>
      </c>
      <c r="LJ26">
        <v>5115</v>
      </c>
      <c r="LK26">
        <v>1199</v>
      </c>
      <c r="LL26">
        <v>8027</v>
      </c>
      <c r="LM26">
        <v>33</v>
      </c>
      <c r="LN26">
        <v>7165</v>
      </c>
      <c r="LO26">
        <v>4819</v>
      </c>
      <c r="LP26">
        <v>82</v>
      </c>
      <c r="LQ26">
        <v>6156</v>
      </c>
      <c r="LR26">
        <v>1108</v>
      </c>
      <c r="LS26">
        <v>9612</v>
      </c>
      <c r="LT26">
        <v>54</v>
      </c>
      <c r="LU26">
        <v>6272</v>
      </c>
      <c r="LV26">
        <v>4283</v>
      </c>
      <c r="LW26" s="44"/>
      <c r="LX26" s="44"/>
      <c r="LY26" s="44"/>
      <c r="LZ26">
        <v>29605</v>
      </c>
      <c r="MA26">
        <v>111683</v>
      </c>
      <c r="MB26">
        <v>100751</v>
      </c>
      <c r="MC26">
        <v>5106</v>
      </c>
      <c r="MD26" s="26">
        <v>9.0986409999999989</v>
      </c>
      <c r="ME26" s="26">
        <v>8.0093870000000003</v>
      </c>
      <c r="MF26" s="26">
        <v>37.157471999999999</v>
      </c>
      <c r="MG26" s="26">
        <v>42.339504999999996</v>
      </c>
      <c r="MH26" s="26">
        <v>5.8199629999999996</v>
      </c>
      <c r="MI26" s="26">
        <v>1.6652589999999998</v>
      </c>
      <c r="MJ26" s="26">
        <v>7.0596179999999995</v>
      </c>
      <c r="MK26" s="26">
        <v>1.574058</v>
      </c>
      <c r="ML26" s="26">
        <v>0.69920599999999999</v>
      </c>
      <c r="MM26" s="26">
        <v>42.023306999999996</v>
      </c>
      <c r="MN26" s="26">
        <v>17.274108999999999</v>
      </c>
      <c r="MO26" s="26">
        <v>-0.45271599999999995</v>
      </c>
      <c r="MP26" t="s">
        <v>1027</v>
      </c>
      <c r="MQ26">
        <v>1480</v>
      </c>
      <c r="MR26">
        <v>121</v>
      </c>
    </row>
    <row r="27" spans="1:356">
      <c r="A27" t="s">
        <v>93</v>
      </c>
      <c r="B27" t="s">
        <v>94</v>
      </c>
      <c r="C27">
        <v>5242</v>
      </c>
      <c r="D27">
        <v>5405</v>
      </c>
      <c r="E27">
        <v>6156</v>
      </c>
      <c r="F27">
        <f t="shared" si="0"/>
        <v>751</v>
      </c>
      <c r="G27" s="26">
        <f t="shared" si="1"/>
        <v>13.894542090656785</v>
      </c>
      <c r="H27">
        <v>3106</v>
      </c>
      <c r="I27">
        <v>3050</v>
      </c>
      <c r="J27">
        <v>4329</v>
      </c>
      <c r="K27">
        <v>1827</v>
      </c>
      <c r="L27">
        <v>241</v>
      </c>
      <c r="M27">
        <v>294</v>
      </c>
      <c r="N27">
        <v>283</v>
      </c>
      <c r="O27">
        <v>304</v>
      </c>
      <c r="P27">
        <v>258</v>
      </c>
      <c r="Q27">
        <v>226</v>
      </c>
      <c r="R27">
        <v>191</v>
      </c>
      <c r="S27">
        <v>209</v>
      </c>
      <c r="T27">
        <v>228</v>
      </c>
      <c r="U27">
        <v>190</v>
      </c>
      <c r="V27">
        <v>149</v>
      </c>
      <c r="W27">
        <v>144</v>
      </c>
      <c r="X27">
        <v>124</v>
      </c>
      <c r="Y27">
        <v>265</v>
      </c>
      <c r="Z27">
        <v>0</v>
      </c>
      <c r="AA27">
        <v>265</v>
      </c>
      <c r="AB27">
        <v>292</v>
      </c>
      <c r="AC27">
        <v>281</v>
      </c>
      <c r="AD27">
        <v>251</v>
      </c>
      <c r="AE27">
        <v>246</v>
      </c>
      <c r="AF27">
        <v>253</v>
      </c>
      <c r="AG27">
        <v>220</v>
      </c>
      <c r="AH27">
        <v>242</v>
      </c>
      <c r="AI27">
        <v>217</v>
      </c>
      <c r="AJ27">
        <v>181</v>
      </c>
      <c r="AK27">
        <v>150</v>
      </c>
      <c r="AL27">
        <v>137</v>
      </c>
      <c r="AM27">
        <v>92</v>
      </c>
      <c r="AN27">
        <v>223</v>
      </c>
      <c r="AO27">
        <v>0</v>
      </c>
      <c r="AP27">
        <v>6089</v>
      </c>
      <c r="AQ27">
        <v>64</v>
      </c>
      <c r="AR27">
        <v>0</v>
      </c>
      <c r="AS27">
        <v>0</v>
      </c>
      <c r="AT27">
        <v>3</v>
      </c>
      <c r="AU27">
        <v>173</v>
      </c>
      <c r="AV27">
        <v>96</v>
      </c>
      <c r="AW27">
        <v>77</v>
      </c>
      <c r="AX27">
        <v>230</v>
      </c>
      <c r="AY27">
        <v>200</v>
      </c>
      <c r="AZ27">
        <v>17</v>
      </c>
      <c r="BA27">
        <v>183</v>
      </c>
      <c r="BB27">
        <v>0</v>
      </c>
      <c r="BC27">
        <v>0</v>
      </c>
      <c r="BD27">
        <v>3</v>
      </c>
      <c r="BE27">
        <v>1</v>
      </c>
      <c r="BF27">
        <v>1</v>
      </c>
      <c r="BG27">
        <v>0</v>
      </c>
      <c r="BH27">
        <v>3</v>
      </c>
      <c r="BI27">
        <v>0</v>
      </c>
      <c r="BJ27">
        <v>4</v>
      </c>
      <c r="BK27">
        <v>3</v>
      </c>
      <c r="BL27">
        <v>9</v>
      </c>
      <c r="BM27">
        <v>10</v>
      </c>
      <c r="BN27">
        <v>10</v>
      </c>
      <c r="BO27">
        <v>11</v>
      </c>
      <c r="BP27">
        <v>11</v>
      </c>
      <c r="BQ27">
        <v>9</v>
      </c>
      <c r="BR27">
        <v>6</v>
      </c>
      <c r="BS27">
        <v>7</v>
      </c>
      <c r="BT27">
        <v>9</v>
      </c>
      <c r="BU27">
        <v>10</v>
      </c>
      <c r="BV27">
        <v>9</v>
      </c>
      <c r="BW27">
        <v>10</v>
      </c>
      <c r="BX27">
        <v>7</v>
      </c>
      <c r="BY27">
        <v>6</v>
      </c>
      <c r="BZ27">
        <v>11</v>
      </c>
      <c r="CA27">
        <v>2</v>
      </c>
      <c r="CB27">
        <v>13</v>
      </c>
      <c r="CC27">
        <v>8</v>
      </c>
      <c r="CD27">
        <v>96</v>
      </c>
      <c r="CE27">
        <v>77</v>
      </c>
      <c r="CF27">
        <v>0</v>
      </c>
      <c r="CG27">
        <v>0</v>
      </c>
      <c r="CH27">
        <v>1345</v>
      </c>
      <c r="CI27">
        <v>282</v>
      </c>
      <c r="CJ27">
        <v>5167</v>
      </c>
      <c r="CK27">
        <v>989</v>
      </c>
      <c r="CL27">
        <v>158</v>
      </c>
      <c r="CM27">
        <v>273</v>
      </c>
      <c r="CN27">
        <v>312</v>
      </c>
      <c r="CO27">
        <v>393</v>
      </c>
      <c r="CP27">
        <v>257</v>
      </c>
      <c r="CQ27">
        <v>234</v>
      </c>
      <c r="CR27">
        <v>1244</v>
      </c>
      <c r="CS27">
        <v>2327</v>
      </c>
      <c r="CT27">
        <v>563</v>
      </c>
      <c r="CU27">
        <v>233</v>
      </c>
      <c r="CV27">
        <v>41</v>
      </c>
      <c r="CW27">
        <v>115</v>
      </c>
      <c r="CX27">
        <v>6</v>
      </c>
      <c r="CY27">
        <v>1065</v>
      </c>
      <c r="CZ27">
        <v>400</v>
      </c>
      <c r="DA27">
        <v>3</v>
      </c>
      <c r="DB27">
        <v>158</v>
      </c>
      <c r="DC27">
        <v>1</v>
      </c>
      <c r="DD27">
        <v>27</v>
      </c>
      <c r="DE27">
        <v>0</v>
      </c>
      <c r="DF27">
        <v>816</v>
      </c>
      <c r="DG27">
        <v>984</v>
      </c>
      <c r="DH27">
        <v>4329</v>
      </c>
      <c r="DI27">
        <v>0</v>
      </c>
      <c r="DJ27">
        <v>0</v>
      </c>
      <c r="DK27">
        <v>0</v>
      </c>
      <c r="DL27">
        <v>0</v>
      </c>
      <c r="DM27">
        <v>3</v>
      </c>
      <c r="DN27">
        <v>0</v>
      </c>
      <c r="DO27">
        <v>2</v>
      </c>
      <c r="DP27">
        <v>1</v>
      </c>
      <c r="DQ27">
        <v>1</v>
      </c>
      <c r="DR27">
        <v>0</v>
      </c>
      <c r="DS27">
        <v>0</v>
      </c>
      <c r="DT27">
        <v>0</v>
      </c>
      <c r="DU27">
        <v>0</v>
      </c>
      <c r="DV27">
        <v>257</v>
      </c>
      <c r="DW27">
        <v>239</v>
      </c>
      <c r="DX27">
        <v>225</v>
      </c>
      <c r="DY27">
        <v>244</v>
      </c>
      <c r="DZ27">
        <v>123</v>
      </c>
      <c r="EA27">
        <v>85</v>
      </c>
      <c r="EB27">
        <v>47</v>
      </c>
      <c r="EC27">
        <v>42</v>
      </c>
      <c r="ED27">
        <v>48</v>
      </c>
      <c r="EE27">
        <v>52</v>
      </c>
      <c r="EF27">
        <v>81</v>
      </c>
      <c r="EG27">
        <v>66</v>
      </c>
      <c r="EH27">
        <v>37</v>
      </c>
      <c r="EI27">
        <v>28</v>
      </c>
      <c r="EJ27">
        <v>364</v>
      </c>
      <c r="EK27">
        <v>355</v>
      </c>
      <c r="EL27">
        <v>164</v>
      </c>
      <c r="EM27">
        <v>63</v>
      </c>
      <c r="EN27">
        <v>71</v>
      </c>
      <c r="EO27">
        <v>105</v>
      </c>
      <c r="EP27">
        <v>50</v>
      </c>
      <c r="EQ27">
        <v>1865</v>
      </c>
      <c r="ER27">
        <v>1790</v>
      </c>
      <c r="ES27">
        <v>75</v>
      </c>
      <c r="ET27">
        <v>584</v>
      </c>
      <c r="EU27">
        <v>592</v>
      </c>
      <c r="EV27">
        <v>580</v>
      </c>
      <c r="EW27">
        <v>12</v>
      </c>
      <c r="EX27">
        <v>1782</v>
      </c>
      <c r="EY27" s="26">
        <v>51.11533</v>
      </c>
      <c r="EZ27" s="26">
        <v>19.411486</v>
      </c>
      <c r="FA27" s="26">
        <v>10.251542000000001</v>
      </c>
      <c r="FB27" s="26">
        <v>18.462268999999999</v>
      </c>
      <c r="FC27" s="26">
        <v>0.75937399999999999</v>
      </c>
      <c r="FD27">
        <v>477</v>
      </c>
      <c r="FE27">
        <v>856</v>
      </c>
      <c r="FF27">
        <v>63</v>
      </c>
      <c r="FG27">
        <v>588</v>
      </c>
      <c r="FH27">
        <v>2</v>
      </c>
      <c r="FI27">
        <v>301</v>
      </c>
      <c r="FJ27">
        <v>169</v>
      </c>
      <c r="FK27" s="26" t="s">
        <v>359</v>
      </c>
      <c r="FL27" s="26" t="s">
        <v>359</v>
      </c>
      <c r="FM27" s="26" t="s">
        <v>359</v>
      </c>
      <c r="FN27" s="26" t="s">
        <v>359</v>
      </c>
      <c r="FO27" s="28">
        <v>2316</v>
      </c>
      <c r="FP27" s="28">
        <v>787</v>
      </c>
      <c r="FQ27">
        <v>367</v>
      </c>
      <c r="FR27">
        <v>27</v>
      </c>
      <c r="FS27">
        <v>7</v>
      </c>
      <c r="FT27">
        <v>1</v>
      </c>
      <c r="FU27">
        <v>1722</v>
      </c>
      <c r="FV27">
        <v>38</v>
      </c>
      <c r="FW27">
        <v>184</v>
      </c>
      <c r="FX27">
        <v>3</v>
      </c>
      <c r="FY27">
        <v>2379</v>
      </c>
      <c r="FZ27">
        <v>671</v>
      </c>
      <c r="GA27">
        <v>232</v>
      </c>
      <c r="GB27">
        <v>37</v>
      </c>
      <c r="GC27">
        <v>10</v>
      </c>
      <c r="GD27">
        <v>7</v>
      </c>
      <c r="GE27">
        <v>1904</v>
      </c>
      <c r="GF27">
        <v>34</v>
      </c>
      <c r="GG27">
        <v>175</v>
      </c>
      <c r="GH27">
        <v>0</v>
      </c>
      <c r="GI27">
        <v>179</v>
      </c>
      <c r="GJ27">
        <v>227</v>
      </c>
      <c r="GK27">
        <v>225</v>
      </c>
      <c r="GL27">
        <v>244</v>
      </c>
      <c r="GM27">
        <v>189</v>
      </c>
      <c r="GN27">
        <v>161</v>
      </c>
      <c r="GO27">
        <v>138</v>
      </c>
      <c r="GP27">
        <v>167</v>
      </c>
      <c r="GQ27">
        <v>167</v>
      </c>
      <c r="GR27">
        <v>133</v>
      </c>
      <c r="GS27">
        <v>103</v>
      </c>
      <c r="GT27">
        <v>94</v>
      </c>
      <c r="GU27">
        <v>81</v>
      </c>
      <c r="GV27">
        <v>69</v>
      </c>
      <c r="GW27">
        <v>50</v>
      </c>
      <c r="GX27">
        <v>40</v>
      </c>
      <c r="GY27">
        <v>24</v>
      </c>
      <c r="GZ27">
        <v>25</v>
      </c>
      <c r="HA27">
        <v>185</v>
      </c>
      <c r="HB27">
        <v>237</v>
      </c>
      <c r="HC27">
        <v>222</v>
      </c>
      <c r="HD27">
        <v>195</v>
      </c>
      <c r="HE27">
        <v>180</v>
      </c>
      <c r="HF27">
        <v>196</v>
      </c>
      <c r="HG27">
        <v>182</v>
      </c>
      <c r="HH27">
        <v>208</v>
      </c>
      <c r="HI27">
        <v>185</v>
      </c>
      <c r="HJ27">
        <v>141</v>
      </c>
      <c r="HK27">
        <v>103</v>
      </c>
      <c r="HL27">
        <v>100</v>
      </c>
      <c r="HM27">
        <v>64</v>
      </c>
      <c r="HN27">
        <v>65</v>
      </c>
      <c r="HO27">
        <v>37</v>
      </c>
      <c r="HP27">
        <v>37</v>
      </c>
      <c r="HQ27">
        <v>24</v>
      </c>
      <c r="HR27">
        <v>18</v>
      </c>
      <c r="HS27">
        <v>1592</v>
      </c>
      <c r="HT27">
        <v>0</v>
      </c>
      <c r="HU27">
        <v>0</v>
      </c>
      <c r="HV27">
        <v>0</v>
      </c>
      <c r="HW27">
        <v>0</v>
      </c>
      <c r="HX27">
        <v>0</v>
      </c>
      <c r="HY27">
        <v>2</v>
      </c>
      <c r="HZ27">
        <v>0</v>
      </c>
      <c r="IA27">
        <v>156</v>
      </c>
      <c r="IB27">
        <v>273</v>
      </c>
      <c r="IC27">
        <v>312</v>
      </c>
      <c r="ID27">
        <v>393</v>
      </c>
      <c r="IE27">
        <v>257</v>
      </c>
      <c r="IF27">
        <v>104</v>
      </c>
      <c r="IG27">
        <v>74</v>
      </c>
      <c r="IH27">
        <v>29</v>
      </c>
      <c r="II27">
        <v>27</v>
      </c>
      <c r="IJ27">
        <v>451</v>
      </c>
      <c r="IK27">
        <v>536</v>
      </c>
      <c r="IL27">
        <v>439</v>
      </c>
      <c r="IM27">
        <v>161</v>
      </c>
      <c r="IN27">
        <v>27</v>
      </c>
      <c r="IO27">
        <v>8</v>
      </c>
      <c r="IP27">
        <v>1</v>
      </c>
      <c r="IQ27">
        <v>2</v>
      </c>
      <c r="IR27">
        <v>0</v>
      </c>
      <c r="IS27">
        <v>983</v>
      </c>
      <c r="IT27">
        <v>509</v>
      </c>
      <c r="IU27">
        <v>121</v>
      </c>
      <c r="IV27">
        <v>8</v>
      </c>
      <c r="IW27">
        <v>4</v>
      </c>
      <c r="IX27">
        <v>1148</v>
      </c>
      <c r="IY27">
        <v>436</v>
      </c>
      <c r="IZ27">
        <v>1</v>
      </c>
      <c r="JA27">
        <v>8</v>
      </c>
      <c r="JB27">
        <v>0</v>
      </c>
      <c r="JC27">
        <v>12</v>
      </c>
      <c r="JD27">
        <v>1600</v>
      </c>
      <c r="JE27">
        <v>25</v>
      </c>
      <c r="JF27">
        <v>0</v>
      </c>
      <c r="JH27" s="28">
        <v>1310.3654693528244</v>
      </c>
      <c r="JI27" s="28">
        <v>35.139127268685478</v>
      </c>
      <c r="JJ27">
        <v>49</v>
      </c>
      <c r="JK27">
        <v>1400</v>
      </c>
      <c r="JL27">
        <v>176</v>
      </c>
      <c r="JM27">
        <v>0</v>
      </c>
      <c r="JN27">
        <v>1215</v>
      </c>
      <c r="JO27">
        <v>973</v>
      </c>
      <c r="JP27">
        <v>177</v>
      </c>
      <c r="JQ27">
        <v>1154</v>
      </c>
      <c r="JR27">
        <v>1444</v>
      </c>
      <c r="JS27">
        <v>90</v>
      </c>
      <c r="JT27">
        <v>47</v>
      </c>
      <c r="JU27">
        <v>1238</v>
      </c>
      <c r="JV27">
        <v>38</v>
      </c>
      <c r="JW27" s="28"/>
      <c r="JX27" s="28"/>
      <c r="JY27" s="28"/>
      <c r="JZ27" s="28"/>
      <c r="KA27" s="28">
        <v>1607.0000050000001</v>
      </c>
      <c r="KB27">
        <v>6025</v>
      </c>
      <c r="KC27">
        <v>0</v>
      </c>
      <c r="KD27">
        <v>0</v>
      </c>
      <c r="KE27">
        <v>0</v>
      </c>
      <c r="KF27">
        <v>0</v>
      </c>
      <c r="KG27">
        <v>0</v>
      </c>
      <c r="KH27">
        <v>2</v>
      </c>
      <c r="KI27">
        <v>0</v>
      </c>
      <c r="KJ27">
        <v>181</v>
      </c>
      <c r="KK27">
        <v>5314</v>
      </c>
      <c r="KL27">
        <v>659</v>
      </c>
      <c r="KM27">
        <v>0</v>
      </c>
      <c r="KT27">
        <v>814</v>
      </c>
      <c r="KU27">
        <v>780</v>
      </c>
      <c r="KV27">
        <v>648</v>
      </c>
      <c r="KW27">
        <v>105</v>
      </c>
      <c r="KX27">
        <v>40</v>
      </c>
      <c r="KZ27">
        <v>634</v>
      </c>
      <c r="LA27">
        <v>81</v>
      </c>
      <c r="LB27">
        <v>31</v>
      </c>
      <c r="LD27">
        <v>450</v>
      </c>
      <c r="LE27">
        <v>461</v>
      </c>
      <c r="LF27">
        <v>501</v>
      </c>
      <c r="LG27">
        <v>483</v>
      </c>
      <c r="LH27">
        <v>4500</v>
      </c>
      <c r="LI27">
        <v>29</v>
      </c>
      <c r="LJ27">
        <v>363</v>
      </c>
      <c r="LK27">
        <v>65</v>
      </c>
      <c r="LL27">
        <v>526</v>
      </c>
      <c r="LM27">
        <v>1</v>
      </c>
      <c r="LN27">
        <v>216</v>
      </c>
      <c r="LO27">
        <v>92</v>
      </c>
      <c r="LP27">
        <v>26</v>
      </c>
      <c r="LQ27">
        <v>363</v>
      </c>
      <c r="LR27">
        <v>67</v>
      </c>
      <c r="LS27">
        <v>505</v>
      </c>
      <c r="LT27">
        <v>1</v>
      </c>
      <c r="LU27">
        <v>182</v>
      </c>
      <c r="LV27">
        <v>54</v>
      </c>
      <c r="LW27" s="44"/>
      <c r="LX27" s="44"/>
      <c r="LY27" s="44"/>
      <c r="LZ27">
        <v>1625</v>
      </c>
      <c r="MA27">
        <v>6154</v>
      </c>
      <c r="MB27">
        <v>5899</v>
      </c>
      <c r="MC27">
        <v>131</v>
      </c>
      <c r="MD27" s="26">
        <v>21.866667</v>
      </c>
      <c r="ME27" s="26">
        <v>6.2741309999999997</v>
      </c>
      <c r="MF27" s="26">
        <v>58.088888999999995</v>
      </c>
      <c r="MG27" s="26">
        <v>23.684210999999998</v>
      </c>
      <c r="MH27" s="26">
        <v>3.0153849999999998</v>
      </c>
      <c r="MI27" s="26">
        <v>1.476923</v>
      </c>
      <c r="MJ27" s="26">
        <v>1.476923</v>
      </c>
      <c r="MK27" s="26">
        <v>1.538462</v>
      </c>
      <c r="ML27" s="26">
        <v>1.1076919999999999</v>
      </c>
      <c r="MM27" s="26">
        <v>40.123076999999995</v>
      </c>
      <c r="MN27" s="26">
        <v>25.230768999999999</v>
      </c>
      <c r="MO27" s="26">
        <v>5.0130999999999995E-2</v>
      </c>
      <c r="MP27" t="s">
        <v>1027</v>
      </c>
      <c r="MQ27">
        <v>971</v>
      </c>
      <c r="MR27">
        <v>89</v>
      </c>
    </row>
    <row r="28" spans="1:356">
      <c r="A28" t="s">
        <v>95</v>
      </c>
      <c r="B28" t="s">
        <v>96</v>
      </c>
      <c r="C28">
        <v>4345</v>
      </c>
      <c r="D28">
        <v>5018</v>
      </c>
      <c r="E28">
        <v>5402</v>
      </c>
      <c r="F28">
        <f t="shared" si="0"/>
        <v>384</v>
      </c>
      <c r="G28" s="26">
        <f t="shared" si="1"/>
        <v>7.6524511757672258</v>
      </c>
      <c r="H28">
        <v>2701</v>
      </c>
      <c r="I28">
        <v>2701</v>
      </c>
      <c r="J28">
        <v>3947</v>
      </c>
      <c r="K28">
        <v>1455</v>
      </c>
      <c r="L28">
        <v>276</v>
      </c>
      <c r="M28">
        <v>310</v>
      </c>
      <c r="N28">
        <v>282</v>
      </c>
      <c r="O28">
        <v>246</v>
      </c>
      <c r="P28">
        <v>187</v>
      </c>
      <c r="Q28">
        <v>168</v>
      </c>
      <c r="R28">
        <v>163</v>
      </c>
      <c r="S28">
        <v>185</v>
      </c>
      <c r="T28">
        <v>201</v>
      </c>
      <c r="U28">
        <v>137</v>
      </c>
      <c r="V28">
        <v>144</v>
      </c>
      <c r="W28">
        <v>99</v>
      </c>
      <c r="X28">
        <v>84</v>
      </c>
      <c r="Y28">
        <v>219</v>
      </c>
      <c r="Z28">
        <v>0</v>
      </c>
      <c r="AA28">
        <v>280</v>
      </c>
      <c r="AB28">
        <v>259</v>
      </c>
      <c r="AC28">
        <v>250</v>
      </c>
      <c r="AD28">
        <v>252</v>
      </c>
      <c r="AE28">
        <v>208</v>
      </c>
      <c r="AF28">
        <v>191</v>
      </c>
      <c r="AG28">
        <v>214</v>
      </c>
      <c r="AH28">
        <v>217</v>
      </c>
      <c r="AI28">
        <v>157</v>
      </c>
      <c r="AJ28">
        <v>156</v>
      </c>
      <c r="AK28">
        <v>115</v>
      </c>
      <c r="AL28">
        <v>123</v>
      </c>
      <c r="AM28">
        <v>92</v>
      </c>
      <c r="AN28">
        <v>187</v>
      </c>
      <c r="AO28">
        <v>0</v>
      </c>
      <c r="AP28">
        <v>5234</v>
      </c>
      <c r="AQ28">
        <v>164</v>
      </c>
      <c r="AR28">
        <v>2</v>
      </c>
      <c r="AS28">
        <v>0</v>
      </c>
      <c r="AT28">
        <v>2</v>
      </c>
      <c r="AU28">
        <v>420</v>
      </c>
      <c r="AV28">
        <v>223</v>
      </c>
      <c r="AW28">
        <v>197</v>
      </c>
      <c r="AX28">
        <v>416</v>
      </c>
      <c r="AY28">
        <v>400</v>
      </c>
      <c r="AZ28">
        <v>388</v>
      </c>
      <c r="BA28">
        <v>12</v>
      </c>
      <c r="BB28">
        <v>3</v>
      </c>
      <c r="BC28">
        <v>3</v>
      </c>
      <c r="BD28">
        <v>20</v>
      </c>
      <c r="BE28">
        <v>14</v>
      </c>
      <c r="BF28">
        <v>20</v>
      </c>
      <c r="BG28">
        <v>15</v>
      </c>
      <c r="BH28">
        <v>15</v>
      </c>
      <c r="BI28">
        <v>20</v>
      </c>
      <c r="BJ28">
        <v>14</v>
      </c>
      <c r="BK28">
        <v>11</v>
      </c>
      <c r="BL28">
        <v>21</v>
      </c>
      <c r="BM28">
        <v>14</v>
      </c>
      <c r="BN28">
        <v>15</v>
      </c>
      <c r="BO28">
        <v>20</v>
      </c>
      <c r="BP28">
        <v>23</v>
      </c>
      <c r="BQ28">
        <v>19</v>
      </c>
      <c r="BR28">
        <v>13</v>
      </c>
      <c r="BS28">
        <v>12</v>
      </c>
      <c r="BT28">
        <v>18</v>
      </c>
      <c r="BU28">
        <v>16</v>
      </c>
      <c r="BV28">
        <v>15</v>
      </c>
      <c r="BW28">
        <v>13</v>
      </c>
      <c r="BX28">
        <v>11</v>
      </c>
      <c r="BY28">
        <v>7</v>
      </c>
      <c r="BZ28">
        <v>10</v>
      </c>
      <c r="CA28">
        <v>11</v>
      </c>
      <c r="CB28">
        <v>25</v>
      </c>
      <c r="CC28">
        <v>22</v>
      </c>
      <c r="CD28">
        <v>221</v>
      </c>
      <c r="CE28">
        <v>195</v>
      </c>
      <c r="CF28">
        <v>1</v>
      </c>
      <c r="CG28">
        <v>1</v>
      </c>
      <c r="CH28">
        <v>1176</v>
      </c>
      <c r="CI28">
        <v>300</v>
      </c>
      <c r="CJ28">
        <v>4539</v>
      </c>
      <c r="CK28">
        <v>863</v>
      </c>
      <c r="CL28">
        <v>175</v>
      </c>
      <c r="CM28">
        <v>253</v>
      </c>
      <c r="CN28">
        <v>266</v>
      </c>
      <c r="CO28">
        <v>334</v>
      </c>
      <c r="CP28">
        <v>260</v>
      </c>
      <c r="CQ28">
        <v>188</v>
      </c>
      <c r="CR28">
        <v>1071</v>
      </c>
      <c r="CS28">
        <v>2358</v>
      </c>
      <c r="CT28">
        <v>296</v>
      </c>
      <c r="CU28">
        <v>73</v>
      </c>
      <c r="CV28">
        <v>25</v>
      </c>
      <c r="CW28">
        <v>96</v>
      </c>
      <c r="CX28">
        <v>7</v>
      </c>
      <c r="CY28">
        <v>1057</v>
      </c>
      <c r="CZ28">
        <v>238</v>
      </c>
      <c r="DA28">
        <v>4</v>
      </c>
      <c r="DB28">
        <v>175</v>
      </c>
      <c r="DC28">
        <v>2</v>
      </c>
      <c r="DD28">
        <v>444</v>
      </c>
      <c r="DE28">
        <v>698</v>
      </c>
      <c r="DF28">
        <v>313</v>
      </c>
      <c r="DG28">
        <v>0</v>
      </c>
      <c r="DH28">
        <v>3947</v>
      </c>
      <c r="DI28">
        <v>0</v>
      </c>
      <c r="DJ28">
        <v>0</v>
      </c>
      <c r="DK28">
        <v>0</v>
      </c>
      <c r="DL28">
        <v>0</v>
      </c>
      <c r="DM28">
        <v>13</v>
      </c>
      <c r="DN28">
        <v>4</v>
      </c>
      <c r="DO28">
        <v>1</v>
      </c>
      <c r="DP28">
        <v>0</v>
      </c>
      <c r="DQ28">
        <v>1</v>
      </c>
      <c r="DR28">
        <v>0</v>
      </c>
      <c r="DS28">
        <v>0</v>
      </c>
      <c r="DT28">
        <v>0</v>
      </c>
      <c r="DU28">
        <v>0</v>
      </c>
      <c r="DV28">
        <v>174</v>
      </c>
      <c r="DW28">
        <v>170</v>
      </c>
      <c r="DX28">
        <v>283</v>
      </c>
      <c r="DY28">
        <v>293</v>
      </c>
      <c r="DZ28">
        <v>100</v>
      </c>
      <c r="EA28">
        <v>74</v>
      </c>
      <c r="EB28">
        <v>58</v>
      </c>
      <c r="EC28">
        <v>39</v>
      </c>
      <c r="ED28">
        <v>35</v>
      </c>
      <c r="EE28">
        <v>33</v>
      </c>
      <c r="EF28">
        <v>82</v>
      </c>
      <c r="EG28">
        <v>83</v>
      </c>
      <c r="EH28">
        <v>43</v>
      </c>
      <c r="EI28">
        <v>33</v>
      </c>
      <c r="EJ28">
        <v>207</v>
      </c>
      <c r="EK28">
        <v>370</v>
      </c>
      <c r="EL28">
        <v>108</v>
      </c>
      <c r="EM28">
        <v>59</v>
      </c>
      <c r="EN28">
        <v>40</v>
      </c>
      <c r="EO28">
        <v>100</v>
      </c>
      <c r="EP28">
        <v>48</v>
      </c>
      <c r="EQ28">
        <v>1309</v>
      </c>
      <c r="ER28">
        <v>1165</v>
      </c>
      <c r="ES28">
        <v>144</v>
      </c>
      <c r="ET28">
        <v>683</v>
      </c>
      <c r="EU28">
        <v>527</v>
      </c>
      <c r="EV28">
        <v>507</v>
      </c>
      <c r="EW28">
        <v>20</v>
      </c>
      <c r="EX28">
        <v>1533</v>
      </c>
      <c r="EY28" s="26">
        <v>20.260936000000001</v>
      </c>
      <c r="EZ28" s="26">
        <v>34.689179000000003</v>
      </c>
      <c r="FA28" s="26">
        <v>9.3630080000000007</v>
      </c>
      <c r="FB28" s="26">
        <v>34.996163000000003</v>
      </c>
      <c r="FC28" s="26">
        <v>0.69071400000000005</v>
      </c>
      <c r="FD28">
        <v>124</v>
      </c>
      <c r="FE28">
        <v>564</v>
      </c>
      <c r="FF28">
        <v>50</v>
      </c>
      <c r="FG28">
        <v>590</v>
      </c>
      <c r="FH28">
        <v>0</v>
      </c>
      <c r="FI28">
        <v>366</v>
      </c>
      <c r="FJ28">
        <v>139</v>
      </c>
      <c r="FK28" s="26" t="s">
        <v>359</v>
      </c>
      <c r="FL28" s="26" t="s">
        <v>359</v>
      </c>
      <c r="FM28" s="26" t="s">
        <v>359</v>
      </c>
      <c r="FN28" s="26" t="s">
        <v>359</v>
      </c>
      <c r="FO28" s="28">
        <v>1646</v>
      </c>
      <c r="FP28" s="28">
        <v>1055</v>
      </c>
      <c r="FQ28">
        <v>411</v>
      </c>
      <c r="FR28">
        <v>31</v>
      </c>
      <c r="FS28">
        <v>3</v>
      </c>
      <c r="FT28">
        <v>104</v>
      </c>
      <c r="FU28">
        <v>833</v>
      </c>
      <c r="FV28">
        <v>69</v>
      </c>
      <c r="FW28">
        <v>75</v>
      </c>
      <c r="FX28">
        <v>0</v>
      </c>
      <c r="FY28">
        <v>1661</v>
      </c>
      <c r="FZ28">
        <v>1040</v>
      </c>
      <c r="GA28">
        <v>385</v>
      </c>
      <c r="GB28">
        <v>23</v>
      </c>
      <c r="GC28">
        <v>5</v>
      </c>
      <c r="GD28">
        <v>122</v>
      </c>
      <c r="GE28">
        <v>865</v>
      </c>
      <c r="GF28">
        <v>61</v>
      </c>
      <c r="GG28">
        <v>91</v>
      </c>
      <c r="GH28">
        <v>0</v>
      </c>
      <c r="GI28">
        <v>161</v>
      </c>
      <c r="GJ28">
        <v>190</v>
      </c>
      <c r="GK28">
        <v>191</v>
      </c>
      <c r="GL28">
        <v>161</v>
      </c>
      <c r="GM28">
        <v>112</v>
      </c>
      <c r="GN28">
        <v>103</v>
      </c>
      <c r="GO28">
        <v>92</v>
      </c>
      <c r="GP28">
        <v>108</v>
      </c>
      <c r="GQ28">
        <v>126</v>
      </c>
      <c r="GR28">
        <v>76</v>
      </c>
      <c r="GS28">
        <v>78</v>
      </c>
      <c r="GT28">
        <v>51</v>
      </c>
      <c r="GU28">
        <v>48</v>
      </c>
      <c r="GV28">
        <v>62</v>
      </c>
      <c r="GW28">
        <v>33</v>
      </c>
      <c r="GX28">
        <v>22</v>
      </c>
      <c r="GY28">
        <v>17</v>
      </c>
      <c r="GZ28">
        <v>15</v>
      </c>
      <c r="HA28">
        <v>161</v>
      </c>
      <c r="HB28">
        <v>171</v>
      </c>
      <c r="HC28">
        <v>151</v>
      </c>
      <c r="HD28">
        <v>164</v>
      </c>
      <c r="HE28">
        <v>115</v>
      </c>
      <c r="HF28">
        <v>108</v>
      </c>
      <c r="HG28">
        <v>135</v>
      </c>
      <c r="HH28">
        <v>144</v>
      </c>
      <c r="HI28">
        <v>89</v>
      </c>
      <c r="HJ28">
        <v>88</v>
      </c>
      <c r="HK28">
        <v>72</v>
      </c>
      <c r="HL28">
        <v>78</v>
      </c>
      <c r="HM28">
        <v>66</v>
      </c>
      <c r="HN28">
        <v>38</v>
      </c>
      <c r="HO28">
        <v>33</v>
      </c>
      <c r="HP28">
        <v>20</v>
      </c>
      <c r="HQ28">
        <v>14</v>
      </c>
      <c r="HR28">
        <v>14</v>
      </c>
      <c r="HS28">
        <v>1152</v>
      </c>
      <c r="HT28">
        <v>0</v>
      </c>
      <c r="HU28">
        <v>1</v>
      </c>
      <c r="HV28">
        <v>0</v>
      </c>
      <c r="HW28">
        <v>1</v>
      </c>
      <c r="HX28">
        <v>0</v>
      </c>
      <c r="HY28">
        <v>3</v>
      </c>
      <c r="HZ28">
        <v>0</v>
      </c>
      <c r="IA28">
        <v>174</v>
      </c>
      <c r="IB28">
        <v>253</v>
      </c>
      <c r="IC28">
        <v>266</v>
      </c>
      <c r="ID28">
        <v>332</v>
      </c>
      <c r="IE28">
        <v>259</v>
      </c>
      <c r="IF28">
        <v>104</v>
      </c>
      <c r="IG28">
        <v>40</v>
      </c>
      <c r="IH28">
        <v>23</v>
      </c>
      <c r="II28">
        <v>21</v>
      </c>
      <c r="IJ28">
        <v>352</v>
      </c>
      <c r="IK28">
        <v>431</v>
      </c>
      <c r="IL28">
        <v>388</v>
      </c>
      <c r="IM28">
        <v>214</v>
      </c>
      <c r="IN28">
        <v>65</v>
      </c>
      <c r="IO28">
        <v>14</v>
      </c>
      <c r="IP28">
        <v>6</v>
      </c>
      <c r="IQ28">
        <v>2</v>
      </c>
      <c r="IR28">
        <v>0</v>
      </c>
      <c r="IS28">
        <v>835</v>
      </c>
      <c r="IT28">
        <v>465</v>
      </c>
      <c r="IU28">
        <v>141</v>
      </c>
      <c r="IV28">
        <v>26</v>
      </c>
      <c r="IW28">
        <v>5</v>
      </c>
      <c r="IX28">
        <v>507</v>
      </c>
      <c r="IY28">
        <v>680</v>
      </c>
      <c r="IZ28">
        <v>6</v>
      </c>
      <c r="JA28">
        <v>13</v>
      </c>
      <c r="JB28">
        <v>42</v>
      </c>
      <c r="JC28">
        <v>42</v>
      </c>
      <c r="JD28">
        <v>1441</v>
      </c>
      <c r="JE28">
        <v>31</v>
      </c>
      <c r="JF28">
        <v>0</v>
      </c>
      <c r="JH28" s="28">
        <v>1178.2784172028648</v>
      </c>
      <c r="JI28" s="28">
        <v>80.451801174596298</v>
      </c>
      <c r="JJ28">
        <v>121</v>
      </c>
      <c r="JK28">
        <v>1211</v>
      </c>
      <c r="JL28">
        <v>140</v>
      </c>
      <c r="JM28">
        <v>0</v>
      </c>
      <c r="JN28">
        <v>1159</v>
      </c>
      <c r="JO28">
        <v>706</v>
      </c>
      <c r="JP28">
        <v>158</v>
      </c>
      <c r="JQ28">
        <v>569</v>
      </c>
      <c r="JR28">
        <v>1237</v>
      </c>
      <c r="JS28">
        <v>104</v>
      </c>
      <c r="JT28">
        <v>38</v>
      </c>
      <c r="JU28">
        <v>1144</v>
      </c>
      <c r="JV28">
        <v>165</v>
      </c>
      <c r="JW28" s="28"/>
      <c r="JX28" s="28"/>
      <c r="JY28" s="28"/>
      <c r="JZ28" s="28"/>
      <c r="KA28" s="28">
        <v>1464.0000038400001</v>
      </c>
      <c r="KB28">
        <v>4231</v>
      </c>
      <c r="KC28">
        <v>0</v>
      </c>
      <c r="KD28">
        <v>3</v>
      </c>
      <c r="KE28">
        <v>0</v>
      </c>
      <c r="KF28">
        <v>4</v>
      </c>
      <c r="KG28">
        <v>0</v>
      </c>
      <c r="KH28">
        <v>10</v>
      </c>
      <c r="KI28">
        <v>0</v>
      </c>
      <c r="KJ28">
        <v>411</v>
      </c>
      <c r="KK28">
        <v>4442</v>
      </c>
      <c r="KL28">
        <v>535</v>
      </c>
      <c r="KM28">
        <v>0</v>
      </c>
      <c r="KT28">
        <v>815</v>
      </c>
      <c r="KU28">
        <v>729</v>
      </c>
      <c r="KV28">
        <v>691</v>
      </c>
      <c r="KW28">
        <v>72</v>
      </c>
      <c r="KX28">
        <v>27</v>
      </c>
      <c r="KZ28">
        <v>591</v>
      </c>
      <c r="LA28">
        <v>93</v>
      </c>
      <c r="LB28">
        <v>19</v>
      </c>
      <c r="LD28">
        <v>473</v>
      </c>
      <c r="LE28">
        <v>400</v>
      </c>
      <c r="LF28">
        <v>140</v>
      </c>
      <c r="LG28">
        <v>290</v>
      </c>
      <c r="LH28">
        <v>3745</v>
      </c>
      <c r="LI28">
        <v>2</v>
      </c>
      <c r="LJ28">
        <v>297</v>
      </c>
      <c r="LK28">
        <v>52</v>
      </c>
      <c r="LL28">
        <v>609</v>
      </c>
      <c r="LM28">
        <v>0</v>
      </c>
      <c r="LN28">
        <v>279</v>
      </c>
      <c r="LO28">
        <v>60</v>
      </c>
      <c r="LP28">
        <v>4</v>
      </c>
      <c r="LQ28">
        <v>365</v>
      </c>
      <c r="LR28">
        <v>56</v>
      </c>
      <c r="LS28">
        <v>496</v>
      </c>
      <c r="LT28">
        <v>0</v>
      </c>
      <c r="LU28">
        <v>247</v>
      </c>
      <c r="LV28">
        <v>48</v>
      </c>
      <c r="LW28" s="44"/>
      <c r="LX28" s="44"/>
      <c r="LY28" s="44"/>
      <c r="LZ28">
        <v>1472</v>
      </c>
      <c r="MA28">
        <v>5388</v>
      </c>
      <c r="MB28">
        <v>5000</v>
      </c>
      <c r="MC28">
        <v>414</v>
      </c>
      <c r="MD28" s="26">
        <v>11.481976</v>
      </c>
      <c r="ME28" s="26">
        <v>5.0968399999999994</v>
      </c>
      <c r="MF28" s="26">
        <v>46.408544999999997</v>
      </c>
      <c r="MG28" s="26">
        <v>38.781932999999995</v>
      </c>
      <c r="MH28" s="26">
        <v>8.220108999999999</v>
      </c>
      <c r="MI28" s="26">
        <v>2.9891299999999998</v>
      </c>
      <c r="MJ28" s="26">
        <v>6.6576089999999999</v>
      </c>
      <c r="MK28" s="26">
        <v>2.1059779999999999</v>
      </c>
      <c r="ML28" s="26">
        <v>0.54347800000000002</v>
      </c>
      <c r="MM28" s="26">
        <v>52.038042999999995</v>
      </c>
      <c r="MN28" s="26">
        <v>21.263586999999998</v>
      </c>
      <c r="MO28" s="26">
        <v>-0.17264199999999999</v>
      </c>
      <c r="MP28" t="s">
        <v>1027</v>
      </c>
      <c r="MQ28">
        <v>1192</v>
      </c>
      <c r="MR28">
        <v>108</v>
      </c>
    </row>
    <row r="29" spans="1:356">
      <c r="A29" t="s">
        <v>97</v>
      </c>
      <c r="B29" t="s">
        <v>98</v>
      </c>
      <c r="C29">
        <v>24994</v>
      </c>
      <c r="D29">
        <v>31515</v>
      </c>
      <c r="E29">
        <v>36785</v>
      </c>
      <c r="F29">
        <f t="shared" si="0"/>
        <v>5270</v>
      </c>
      <c r="G29" s="26">
        <f t="shared" si="1"/>
        <v>16.722195779787398</v>
      </c>
      <c r="H29">
        <v>18139</v>
      </c>
      <c r="I29">
        <v>18646</v>
      </c>
      <c r="J29">
        <v>10429</v>
      </c>
      <c r="K29">
        <v>26356</v>
      </c>
      <c r="L29">
        <v>1903</v>
      </c>
      <c r="M29">
        <v>2179</v>
      </c>
      <c r="N29">
        <v>2127</v>
      </c>
      <c r="O29">
        <v>1711</v>
      </c>
      <c r="P29">
        <v>1253</v>
      </c>
      <c r="Q29">
        <v>1165</v>
      </c>
      <c r="R29">
        <v>1196</v>
      </c>
      <c r="S29">
        <v>1211</v>
      </c>
      <c r="T29">
        <v>1169</v>
      </c>
      <c r="U29">
        <v>929</v>
      </c>
      <c r="V29">
        <v>771</v>
      </c>
      <c r="W29">
        <v>649</v>
      </c>
      <c r="X29">
        <v>571</v>
      </c>
      <c r="Y29">
        <v>1305</v>
      </c>
      <c r="Z29">
        <v>0</v>
      </c>
      <c r="AA29">
        <v>1840</v>
      </c>
      <c r="AB29">
        <v>2082</v>
      </c>
      <c r="AC29">
        <v>1971</v>
      </c>
      <c r="AD29">
        <v>1757</v>
      </c>
      <c r="AE29">
        <v>1510</v>
      </c>
      <c r="AF29">
        <v>1389</v>
      </c>
      <c r="AG29">
        <v>1388</v>
      </c>
      <c r="AH29">
        <v>1386</v>
      </c>
      <c r="AI29">
        <v>1188</v>
      </c>
      <c r="AJ29">
        <v>987</v>
      </c>
      <c r="AK29">
        <v>786</v>
      </c>
      <c r="AL29">
        <v>648</v>
      </c>
      <c r="AM29">
        <v>525</v>
      </c>
      <c r="AN29">
        <v>1189</v>
      </c>
      <c r="AO29">
        <v>0</v>
      </c>
      <c r="AP29">
        <v>35726</v>
      </c>
      <c r="AQ29">
        <v>636</v>
      </c>
      <c r="AR29">
        <v>79</v>
      </c>
      <c r="AS29">
        <v>328</v>
      </c>
      <c r="AT29">
        <v>16</v>
      </c>
      <c r="AU29">
        <v>263</v>
      </c>
      <c r="AV29">
        <v>149</v>
      </c>
      <c r="AW29">
        <v>114</v>
      </c>
      <c r="AX29">
        <v>85</v>
      </c>
      <c r="AY29">
        <v>184</v>
      </c>
      <c r="AZ29">
        <v>158</v>
      </c>
      <c r="BA29">
        <v>26</v>
      </c>
      <c r="BB29">
        <v>6</v>
      </c>
      <c r="BC29">
        <v>7</v>
      </c>
      <c r="BD29">
        <v>16</v>
      </c>
      <c r="BE29">
        <v>7</v>
      </c>
      <c r="BF29">
        <v>13</v>
      </c>
      <c r="BG29">
        <v>3</v>
      </c>
      <c r="BH29">
        <v>6</v>
      </c>
      <c r="BI29">
        <v>14</v>
      </c>
      <c r="BJ29">
        <v>16</v>
      </c>
      <c r="BK29">
        <v>18</v>
      </c>
      <c r="BL29">
        <v>16</v>
      </c>
      <c r="BM29">
        <v>8</v>
      </c>
      <c r="BN29">
        <v>14</v>
      </c>
      <c r="BO29">
        <v>14</v>
      </c>
      <c r="BP29">
        <v>18</v>
      </c>
      <c r="BQ29">
        <v>13</v>
      </c>
      <c r="BR29">
        <v>7</v>
      </c>
      <c r="BS29">
        <v>7</v>
      </c>
      <c r="BT29">
        <v>5</v>
      </c>
      <c r="BU29">
        <v>2</v>
      </c>
      <c r="BV29">
        <v>4</v>
      </c>
      <c r="BW29">
        <v>5</v>
      </c>
      <c r="BX29">
        <v>6</v>
      </c>
      <c r="BY29">
        <v>5</v>
      </c>
      <c r="BZ29">
        <v>5</v>
      </c>
      <c r="CA29">
        <v>3</v>
      </c>
      <c r="CB29">
        <v>17</v>
      </c>
      <c r="CC29">
        <v>8</v>
      </c>
      <c r="CD29">
        <v>146</v>
      </c>
      <c r="CE29">
        <v>111</v>
      </c>
      <c r="CF29">
        <v>3</v>
      </c>
      <c r="CG29">
        <v>3</v>
      </c>
      <c r="CH29">
        <v>6869</v>
      </c>
      <c r="CI29">
        <v>1938</v>
      </c>
      <c r="CJ29">
        <v>29693</v>
      </c>
      <c r="CK29">
        <v>7036</v>
      </c>
      <c r="CL29">
        <v>620</v>
      </c>
      <c r="CM29">
        <v>1224</v>
      </c>
      <c r="CN29">
        <v>1640</v>
      </c>
      <c r="CO29">
        <v>1907</v>
      </c>
      <c r="CP29">
        <v>1475</v>
      </c>
      <c r="CQ29">
        <v>1941</v>
      </c>
      <c r="CR29">
        <v>6497</v>
      </c>
      <c r="CS29">
        <v>15704</v>
      </c>
      <c r="CT29">
        <v>3226</v>
      </c>
      <c r="CU29">
        <v>1154</v>
      </c>
      <c r="CV29">
        <v>396</v>
      </c>
      <c r="CW29">
        <v>754</v>
      </c>
      <c r="CX29">
        <v>191</v>
      </c>
      <c r="CY29">
        <v>5509</v>
      </c>
      <c r="CZ29">
        <v>2553</v>
      </c>
      <c r="DA29">
        <v>105</v>
      </c>
      <c r="DB29">
        <v>620</v>
      </c>
      <c r="DC29">
        <v>20</v>
      </c>
      <c r="DD29">
        <v>3391</v>
      </c>
      <c r="DE29">
        <v>7227</v>
      </c>
      <c r="DF29">
        <v>5025</v>
      </c>
      <c r="DG29">
        <v>10713</v>
      </c>
      <c r="DH29">
        <v>3346</v>
      </c>
      <c r="DI29">
        <v>7083</v>
      </c>
      <c r="DJ29">
        <v>0</v>
      </c>
      <c r="DK29">
        <v>0</v>
      </c>
      <c r="DL29">
        <v>0</v>
      </c>
      <c r="DM29">
        <v>144</v>
      </c>
      <c r="DN29">
        <v>45</v>
      </c>
      <c r="DO29">
        <v>13</v>
      </c>
      <c r="DP29">
        <v>13</v>
      </c>
      <c r="DQ29">
        <v>1</v>
      </c>
      <c r="DR29">
        <v>1</v>
      </c>
      <c r="DS29">
        <v>0</v>
      </c>
      <c r="DT29">
        <v>0</v>
      </c>
      <c r="DU29">
        <v>0</v>
      </c>
      <c r="DV29">
        <v>790</v>
      </c>
      <c r="DW29">
        <v>776</v>
      </c>
      <c r="DX29">
        <v>1036</v>
      </c>
      <c r="DY29">
        <v>1160</v>
      </c>
      <c r="DZ29">
        <v>519</v>
      </c>
      <c r="EA29">
        <v>418</v>
      </c>
      <c r="EB29">
        <v>299</v>
      </c>
      <c r="EC29">
        <v>234</v>
      </c>
      <c r="ED29">
        <v>210</v>
      </c>
      <c r="EE29">
        <v>206</v>
      </c>
      <c r="EF29">
        <v>367</v>
      </c>
      <c r="EG29">
        <v>382</v>
      </c>
      <c r="EH29">
        <v>198</v>
      </c>
      <c r="EI29">
        <v>163</v>
      </c>
      <c r="EJ29">
        <v>1195</v>
      </c>
      <c r="EK29">
        <v>1659</v>
      </c>
      <c r="EL29">
        <v>739</v>
      </c>
      <c r="EM29">
        <v>401</v>
      </c>
      <c r="EN29">
        <v>313</v>
      </c>
      <c r="EO29">
        <v>567</v>
      </c>
      <c r="EP29">
        <v>267</v>
      </c>
      <c r="EQ29">
        <v>10651</v>
      </c>
      <c r="ER29">
        <v>10545</v>
      </c>
      <c r="ES29">
        <v>106</v>
      </c>
      <c r="ET29">
        <v>2465</v>
      </c>
      <c r="EU29">
        <v>4117</v>
      </c>
      <c r="EV29">
        <v>4079</v>
      </c>
      <c r="EW29">
        <v>38</v>
      </c>
      <c r="EX29">
        <v>9744</v>
      </c>
      <c r="EY29" s="26">
        <v>60.214125000000003</v>
      </c>
      <c r="EZ29" s="26">
        <v>8.5650139999999997</v>
      </c>
      <c r="FA29" s="26">
        <v>11.707822</v>
      </c>
      <c r="FB29" s="26">
        <v>19.202210000000001</v>
      </c>
      <c r="FC29" s="26">
        <v>0.31082700000000002</v>
      </c>
      <c r="FD29">
        <v>1720</v>
      </c>
      <c r="FE29">
        <v>6544</v>
      </c>
      <c r="FF29">
        <v>642</v>
      </c>
      <c r="FG29">
        <v>2860</v>
      </c>
      <c r="FH29">
        <v>5</v>
      </c>
      <c r="FI29">
        <v>1956</v>
      </c>
      <c r="FJ29">
        <v>1037</v>
      </c>
      <c r="FK29" s="26" t="s">
        <v>359</v>
      </c>
      <c r="FL29" s="26" t="s">
        <v>359</v>
      </c>
      <c r="FM29" s="26" t="s">
        <v>359</v>
      </c>
      <c r="FN29" s="26" t="s">
        <v>359</v>
      </c>
      <c r="FO29" s="28">
        <v>13819</v>
      </c>
      <c r="FP29" s="28">
        <v>4317</v>
      </c>
      <c r="FQ29">
        <v>337</v>
      </c>
      <c r="FR29">
        <v>326</v>
      </c>
      <c r="FS29">
        <v>71</v>
      </c>
      <c r="FT29">
        <v>35</v>
      </c>
      <c r="FU29">
        <v>12862</v>
      </c>
      <c r="FV29">
        <v>6</v>
      </c>
      <c r="FW29">
        <v>89</v>
      </c>
      <c r="FX29">
        <v>3</v>
      </c>
      <c r="FY29">
        <v>14868</v>
      </c>
      <c r="FZ29">
        <v>3772</v>
      </c>
      <c r="GA29">
        <v>325</v>
      </c>
      <c r="GB29">
        <v>340</v>
      </c>
      <c r="GC29">
        <v>71</v>
      </c>
      <c r="GD29">
        <v>30</v>
      </c>
      <c r="GE29">
        <v>13897</v>
      </c>
      <c r="GF29">
        <v>5</v>
      </c>
      <c r="GG29">
        <v>92</v>
      </c>
      <c r="GH29">
        <v>6</v>
      </c>
      <c r="GI29">
        <v>1330</v>
      </c>
      <c r="GJ29">
        <v>1782</v>
      </c>
      <c r="GK29">
        <v>1770</v>
      </c>
      <c r="GL29">
        <v>1314</v>
      </c>
      <c r="GM29">
        <v>850</v>
      </c>
      <c r="GN29">
        <v>838</v>
      </c>
      <c r="GO29">
        <v>889</v>
      </c>
      <c r="GP29">
        <v>971</v>
      </c>
      <c r="GQ29">
        <v>890</v>
      </c>
      <c r="GR29">
        <v>697</v>
      </c>
      <c r="GS29">
        <v>589</v>
      </c>
      <c r="GT29">
        <v>480</v>
      </c>
      <c r="GU29">
        <v>420</v>
      </c>
      <c r="GV29">
        <v>319</v>
      </c>
      <c r="GW29">
        <v>247</v>
      </c>
      <c r="GX29">
        <v>216</v>
      </c>
      <c r="GY29">
        <v>101</v>
      </c>
      <c r="GZ29">
        <v>116</v>
      </c>
      <c r="HA29">
        <v>1291</v>
      </c>
      <c r="HB29">
        <v>1708</v>
      </c>
      <c r="HC29">
        <v>1643</v>
      </c>
      <c r="HD29">
        <v>1337</v>
      </c>
      <c r="HE29">
        <v>1147</v>
      </c>
      <c r="HF29">
        <v>1095</v>
      </c>
      <c r="HG29">
        <v>1161</v>
      </c>
      <c r="HH29">
        <v>1160</v>
      </c>
      <c r="HI29">
        <v>994</v>
      </c>
      <c r="HJ29">
        <v>809</v>
      </c>
      <c r="HK29">
        <v>626</v>
      </c>
      <c r="HL29">
        <v>517</v>
      </c>
      <c r="HM29">
        <v>417</v>
      </c>
      <c r="HN29">
        <v>350</v>
      </c>
      <c r="HO29">
        <v>249</v>
      </c>
      <c r="HP29">
        <v>178</v>
      </c>
      <c r="HQ29">
        <v>92</v>
      </c>
      <c r="HR29">
        <v>94</v>
      </c>
      <c r="HS29">
        <v>7949</v>
      </c>
      <c r="HT29">
        <v>45</v>
      </c>
      <c r="HU29">
        <v>28</v>
      </c>
      <c r="HV29">
        <v>0</v>
      </c>
      <c r="HW29">
        <v>20</v>
      </c>
      <c r="HX29">
        <v>0</v>
      </c>
      <c r="HY29">
        <v>12</v>
      </c>
      <c r="HZ29">
        <v>0</v>
      </c>
      <c r="IA29">
        <v>612</v>
      </c>
      <c r="IB29">
        <v>1219</v>
      </c>
      <c r="IC29">
        <v>1635</v>
      </c>
      <c r="ID29">
        <v>1902</v>
      </c>
      <c r="IE29">
        <v>1469</v>
      </c>
      <c r="IF29">
        <v>925</v>
      </c>
      <c r="IG29">
        <v>507</v>
      </c>
      <c r="IH29">
        <v>233</v>
      </c>
      <c r="II29">
        <v>273</v>
      </c>
      <c r="IJ29">
        <v>896</v>
      </c>
      <c r="IK29">
        <v>2114</v>
      </c>
      <c r="IL29">
        <v>2809</v>
      </c>
      <c r="IM29">
        <v>1874</v>
      </c>
      <c r="IN29">
        <v>766</v>
      </c>
      <c r="IO29">
        <v>220</v>
      </c>
      <c r="IP29">
        <v>59</v>
      </c>
      <c r="IQ29">
        <v>22</v>
      </c>
      <c r="IR29">
        <v>15</v>
      </c>
      <c r="IS29">
        <v>3533</v>
      </c>
      <c r="IT29">
        <v>3537</v>
      </c>
      <c r="IU29">
        <v>1377</v>
      </c>
      <c r="IV29">
        <v>285</v>
      </c>
      <c r="IW29">
        <v>43</v>
      </c>
      <c r="IX29">
        <v>1249</v>
      </c>
      <c r="IY29">
        <v>2668</v>
      </c>
      <c r="IZ29">
        <v>32</v>
      </c>
      <c r="JA29">
        <v>76</v>
      </c>
      <c r="JB29">
        <v>189</v>
      </c>
      <c r="JC29">
        <v>271</v>
      </c>
      <c r="JD29">
        <v>8353</v>
      </c>
      <c r="JE29">
        <v>422</v>
      </c>
      <c r="JF29">
        <v>0</v>
      </c>
      <c r="JH29" s="28">
        <v>6299.0276245841269</v>
      </c>
      <c r="JI29" s="28">
        <v>441.54065967889278</v>
      </c>
      <c r="JJ29">
        <v>1309</v>
      </c>
      <c r="JK29">
        <v>6921</v>
      </c>
      <c r="JL29">
        <v>545</v>
      </c>
      <c r="JM29">
        <v>0</v>
      </c>
      <c r="JN29">
        <v>6086</v>
      </c>
      <c r="JO29">
        <v>4130</v>
      </c>
      <c r="JP29">
        <v>1678</v>
      </c>
      <c r="JQ29">
        <v>5435</v>
      </c>
      <c r="JR29">
        <v>6421</v>
      </c>
      <c r="JS29">
        <v>666</v>
      </c>
      <c r="JT29">
        <v>615</v>
      </c>
      <c r="JU29">
        <v>6279</v>
      </c>
      <c r="JV29">
        <v>1383</v>
      </c>
      <c r="JW29" s="28"/>
      <c r="JX29" s="28"/>
      <c r="JY29" s="28"/>
      <c r="JZ29" s="28"/>
      <c r="KA29" s="28">
        <v>8598.0000015000005</v>
      </c>
      <c r="KB29">
        <v>33492</v>
      </c>
      <c r="KC29">
        <v>166</v>
      </c>
      <c r="KD29">
        <v>68</v>
      </c>
      <c r="KE29">
        <v>0</v>
      </c>
      <c r="KF29">
        <v>64</v>
      </c>
      <c r="KG29">
        <v>0</v>
      </c>
      <c r="KH29">
        <v>47</v>
      </c>
      <c r="KI29">
        <v>0</v>
      </c>
      <c r="KJ29">
        <v>5897</v>
      </c>
      <c r="KK29">
        <v>28692</v>
      </c>
      <c r="KL29">
        <v>2029</v>
      </c>
      <c r="KM29">
        <v>0</v>
      </c>
      <c r="KT29">
        <v>5383</v>
      </c>
      <c r="KU29">
        <v>5152</v>
      </c>
      <c r="KV29">
        <v>4679</v>
      </c>
      <c r="KW29">
        <v>471</v>
      </c>
      <c r="KX29">
        <v>97</v>
      </c>
      <c r="KZ29">
        <v>4387</v>
      </c>
      <c r="LA29">
        <v>486</v>
      </c>
      <c r="LB29">
        <v>140</v>
      </c>
      <c r="LD29">
        <v>3121</v>
      </c>
      <c r="LE29">
        <v>2980</v>
      </c>
      <c r="LF29">
        <v>1539</v>
      </c>
      <c r="LG29">
        <v>2454</v>
      </c>
      <c r="LH29">
        <v>24683</v>
      </c>
      <c r="LI29">
        <v>24</v>
      </c>
      <c r="LJ29">
        <v>2118</v>
      </c>
      <c r="LK29">
        <v>445</v>
      </c>
      <c r="LL29">
        <v>2336</v>
      </c>
      <c r="LM29">
        <v>4</v>
      </c>
      <c r="LN29">
        <v>1217</v>
      </c>
      <c r="LO29">
        <v>408</v>
      </c>
      <c r="LP29">
        <v>25</v>
      </c>
      <c r="LQ29">
        <v>2166</v>
      </c>
      <c r="LR29">
        <v>411</v>
      </c>
      <c r="LS29">
        <v>2494</v>
      </c>
      <c r="LT29">
        <v>4</v>
      </c>
      <c r="LU29">
        <v>1180</v>
      </c>
      <c r="LV29">
        <v>352</v>
      </c>
      <c r="LW29" s="44"/>
      <c r="LX29" s="44"/>
      <c r="LY29" s="44"/>
      <c r="LZ29">
        <v>8775</v>
      </c>
      <c r="MA29">
        <v>36618</v>
      </c>
      <c r="MB29">
        <v>34744</v>
      </c>
      <c r="MC29">
        <v>210</v>
      </c>
      <c r="MD29" s="26">
        <v>16.177125999999998</v>
      </c>
      <c r="ME29" s="26">
        <v>7.8066909999999998</v>
      </c>
      <c r="MF29" s="26">
        <v>60.580155999999995</v>
      </c>
      <c r="MG29" s="26">
        <v>21.989941999999999</v>
      </c>
      <c r="MH29" s="26">
        <v>14.917378999999999</v>
      </c>
      <c r="MI29" s="26">
        <v>3.589744</v>
      </c>
      <c r="MJ29" s="26">
        <v>9.2307690000000004</v>
      </c>
      <c r="MK29" s="26">
        <v>4.8091169999999996</v>
      </c>
      <c r="ML29" s="26">
        <v>2.0170939999999997</v>
      </c>
      <c r="MM29" s="26">
        <v>52.934472999999997</v>
      </c>
      <c r="MN29" s="26">
        <v>30.643874999999998</v>
      </c>
      <c r="MO29" s="26">
        <v>0.52765699999999993</v>
      </c>
      <c r="MP29" t="s">
        <v>1029</v>
      </c>
      <c r="MQ29">
        <v>592</v>
      </c>
      <c r="MR29">
        <v>59</v>
      </c>
    </row>
    <row r="30" spans="1:356">
      <c r="A30" t="s">
        <v>99</v>
      </c>
      <c r="B30" t="s">
        <v>100</v>
      </c>
      <c r="C30">
        <v>77686</v>
      </c>
      <c r="D30">
        <v>111554</v>
      </c>
      <c r="E30">
        <v>137262</v>
      </c>
      <c r="F30">
        <f t="shared" si="0"/>
        <v>25708</v>
      </c>
      <c r="G30" s="26">
        <f t="shared" si="1"/>
        <v>23.045341269698966</v>
      </c>
      <c r="H30">
        <v>67317</v>
      </c>
      <c r="I30">
        <v>69945</v>
      </c>
      <c r="J30">
        <v>22052</v>
      </c>
      <c r="K30">
        <v>115210</v>
      </c>
      <c r="L30">
        <v>8760</v>
      </c>
      <c r="M30">
        <v>9955</v>
      </c>
      <c r="N30">
        <v>9633</v>
      </c>
      <c r="O30">
        <v>7350</v>
      </c>
      <c r="P30">
        <v>5790</v>
      </c>
      <c r="Q30">
        <v>4675</v>
      </c>
      <c r="R30">
        <v>4029</v>
      </c>
      <c r="S30">
        <v>3592</v>
      </c>
      <c r="T30">
        <v>3087</v>
      </c>
      <c r="U30">
        <v>2770</v>
      </c>
      <c r="V30">
        <v>2266</v>
      </c>
      <c r="W30">
        <v>1627</v>
      </c>
      <c r="X30">
        <v>1178</v>
      </c>
      <c r="Y30">
        <v>2592</v>
      </c>
      <c r="Z30">
        <v>13</v>
      </c>
      <c r="AA30">
        <v>8847</v>
      </c>
      <c r="AB30">
        <v>10074</v>
      </c>
      <c r="AC30">
        <v>9476</v>
      </c>
      <c r="AD30">
        <v>7703</v>
      </c>
      <c r="AE30">
        <v>6104</v>
      </c>
      <c r="AF30">
        <v>5217</v>
      </c>
      <c r="AG30">
        <v>4594</v>
      </c>
      <c r="AH30">
        <v>4055</v>
      </c>
      <c r="AI30">
        <v>3301</v>
      </c>
      <c r="AJ30">
        <v>3032</v>
      </c>
      <c r="AK30">
        <v>2278</v>
      </c>
      <c r="AL30">
        <v>1744</v>
      </c>
      <c r="AM30">
        <v>1154</v>
      </c>
      <c r="AN30">
        <v>2352</v>
      </c>
      <c r="AO30">
        <v>14</v>
      </c>
      <c r="AP30">
        <v>136838</v>
      </c>
      <c r="AQ30">
        <v>350</v>
      </c>
      <c r="AR30">
        <v>4</v>
      </c>
      <c r="AS30">
        <v>8</v>
      </c>
      <c r="AT30">
        <v>62</v>
      </c>
      <c r="AU30">
        <v>118998</v>
      </c>
      <c r="AV30">
        <v>58442</v>
      </c>
      <c r="AW30">
        <v>60556</v>
      </c>
      <c r="AX30">
        <v>50387</v>
      </c>
      <c r="AY30">
        <v>96567</v>
      </c>
      <c r="AZ30">
        <v>83264</v>
      </c>
      <c r="BA30">
        <v>13303</v>
      </c>
      <c r="BB30">
        <v>3333</v>
      </c>
      <c r="BC30">
        <v>3436</v>
      </c>
      <c r="BD30">
        <v>9055</v>
      </c>
      <c r="BE30">
        <v>9220</v>
      </c>
      <c r="BF30">
        <v>8988</v>
      </c>
      <c r="BG30">
        <v>8834</v>
      </c>
      <c r="BH30">
        <v>6909</v>
      </c>
      <c r="BI30">
        <v>7247</v>
      </c>
      <c r="BJ30">
        <v>5510</v>
      </c>
      <c r="BK30">
        <v>5750</v>
      </c>
      <c r="BL30">
        <v>4453</v>
      </c>
      <c r="BM30">
        <v>4853</v>
      </c>
      <c r="BN30">
        <v>3816</v>
      </c>
      <c r="BO30">
        <v>4288</v>
      </c>
      <c r="BP30">
        <v>3417</v>
      </c>
      <c r="BQ30">
        <v>3791</v>
      </c>
      <c r="BR30">
        <v>2938</v>
      </c>
      <c r="BS30">
        <v>3085</v>
      </c>
      <c r="BT30">
        <v>2648</v>
      </c>
      <c r="BU30">
        <v>2897</v>
      </c>
      <c r="BV30">
        <v>2173</v>
      </c>
      <c r="BW30">
        <v>2161</v>
      </c>
      <c r="BX30">
        <v>1559</v>
      </c>
      <c r="BY30">
        <v>1665</v>
      </c>
      <c r="BZ30">
        <v>1130</v>
      </c>
      <c r="CA30">
        <v>1094</v>
      </c>
      <c r="CB30">
        <v>2513</v>
      </c>
      <c r="CC30">
        <v>2235</v>
      </c>
      <c r="CD30">
        <v>41780</v>
      </c>
      <c r="CE30">
        <v>33641</v>
      </c>
      <c r="CF30">
        <v>15779</v>
      </c>
      <c r="CG30">
        <v>25840</v>
      </c>
      <c r="CH30">
        <v>22950</v>
      </c>
      <c r="CI30">
        <v>3695</v>
      </c>
      <c r="CJ30">
        <v>122071</v>
      </c>
      <c r="CK30">
        <v>14717</v>
      </c>
      <c r="CL30">
        <v>978</v>
      </c>
      <c r="CM30">
        <v>2664</v>
      </c>
      <c r="CN30">
        <v>3888</v>
      </c>
      <c r="CO30">
        <v>4604</v>
      </c>
      <c r="CP30">
        <v>4207</v>
      </c>
      <c r="CQ30">
        <v>10304</v>
      </c>
      <c r="CR30">
        <v>22067</v>
      </c>
      <c r="CS30">
        <v>74834</v>
      </c>
      <c r="CT30">
        <v>6285</v>
      </c>
      <c r="CU30">
        <v>2897</v>
      </c>
      <c r="CV30">
        <v>1093</v>
      </c>
      <c r="CW30">
        <v>2772</v>
      </c>
      <c r="CX30">
        <v>171</v>
      </c>
      <c r="CY30">
        <v>19715</v>
      </c>
      <c r="CZ30">
        <v>5823</v>
      </c>
      <c r="DA30">
        <v>102</v>
      </c>
      <c r="DB30">
        <v>978</v>
      </c>
      <c r="DC30">
        <v>22</v>
      </c>
      <c r="DD30">
        <v>18605</v>
      </c>
      <c r="DE30">
        <v>31601</v>
      </c>
      <c r="DF30">
        <v>27828</v>
      </c>
      <c r="DG30">
        <v>37176</v>
      </c>
      <c r="DH30">
        <v>6393</v>
      </c>
      <c r="DI30">
        <v>15659</v>
      </c>
      <c r="DJ30">
        <v>0</v>
      </c>
      <c r="DK30">
        <v>0</v>
      </c>
      <c r="DL30">
        <v>0</v>
      </c>
      <c r="DM30">
        <v>363</v>
      </c>
      <c r="DN30">
        <v>196</v>
      </c>
      <c r="DO30">
        <v>83</v>
      </c>
      <c r="DP30">
        <v>41</v>
      </c>
      <c r="DQ30">
        <v>2</v>
      </c>
      <c r="DR30">
        <v>2</v>
      </c>
      <c r="DS30">
        <v>0</v>
      </c>
      <c r="DT30">
        <v>0</v>
      </c>
      <c r="DU30">
        <v>0</v>
      </c>
      <c r="DV30">
        <v>2134</v>
      </c>
      <c r="DW30">
        <v>2406</v>
      </c>
      <c r="DX30">
        <v>2776</v>
      </c>
      <c r="DY30">
        <v>2695</v>
      </c>
      <c r="DZ30">
        <v>1724</v>
      </c>
      <c r="EA30">
        <v>1648</v>
      </c>
      <c r="EB30">
        <v>1266</v>
      </c>
      <c r="EC30">
        <v>1217</v>
      </c>
      <c r="ED30">
        <v>1195</v>
      </c>
      <c r="EE30">
        <v>1267</v>
      </c>
      <c r="EF30">
        <v>1294</v>
      </c>
      <c r="EG30">
        <v>1299</v>
      </c>
      <c r="EH30">
        <v>616</v>
      </c>
      <c r="EI30">
        <v>516</v>
      </c>
      <c r="EJ30">
        <v>3428</v>
      </c>
      <c r="EK30">
        <v>4231</v>
      </c>
      <c r="EL30">
        <v>2481</v>
      </c>
      <c r="EM30">
        <v>1600</v>
      </c>
      <c r="EN30">
        <v>1658</v>
      </c>
      <c r="EO30">
        <v>1823</v>
      </c>
      <c r="EP30">
        <v>816</v>
      </c>
      <c r="EQ30">
        <v>39196</v>
      </c>
      <c r="ER30">
        <v>39110</v>
      </c>
      <c r="ES30">
        <v>86</v>
      </c>
      <c r="ET30">
        <v>5279</v>
      </c>
      <c r="EU30">
        <v>31937</v>
      </c>
      <c r="EV30">
        <v>31906</v>
      </c>
      <c r="EW30">
        <v>31</v>
      </c>
      <c r="EX30">
        <v>15115</v>
      </c>
      <c r="EY30" s="26">
        <v>78.169489999999996</v>
      </c>
      <c r="EZ30" s="26">
        <v>7.7099710000000004</v>
      </c>
      <c r="FA30" s="26">
        <v>4.9598829999999996</v>
      </c>
      <c r="FB30" s="26">
        <v>8.7797499999999999</v>
      </c>
      <c r="FC30" s="26">
        <v>0.38090600000000002</v>
      </c>
      <c r="FD30">
        <v>14815</v>
      </c>
      <c r="FE30">
        <v>24676</v>
      </c>
      <c r="FF30">
        <v>5000</v>
      </c>
      <c r="FG30">
        <v>11875</v>
      </c>
      <c r="FH30">
        <v>20</v>
      </c>
      <c r="FI30">
        <v>12223</v>
      </c>
      <c r="FJ30">
        <v>2400</v>
      </c>
      <c r="FK30" s="26" t="s">
        <v>359</v>
      </c>
      <c r="FL30" s="26" t="s">
        <v>359</v>
      </c>
      <c r="FM30" s="26" t="s">
        <v>359</v>
      </c>
      <c r="FN30" s="26" t="s">
        <v>359</v>
      </c>
      <c r="FO30" s="28">
        <v>49986</v>
      </c>
      <c r="FP30" s="28">
        <v>17296</v>
      </c>
      <c r="FQ30">
        <v>1250</v>
      </c>
      <c r="FR30">
        <v>501</v>
      </c>
      <c r="FS30">
        <v>35</v>
      </c>
      <c r="FT30">
        <v>30</v>
      </c>
      <c r="FU30">
        <v>43406</v>
      </c>
      <c r="FV30">
        <v>27</v>
      </c>
      <c r="FW30">
        <v>386</v>
      </c>
      <c r="FX30">
        <v>35</v>
      </c>
      <c r="FY30">
        <v>53682</v>
      </c>
      <c r="FZ30">
        <v>16235</v>
      </c>
      <c r="GA30">
        <v>676</v>
      </c>
      <c r="GB30">
        <v>427</v>
      </c>
      <c r="GC30">
        <v>25</v>
      </c>
      <c r="GD30">
        <v>26</v>
      </c>
      <c r="GE30">
        <v>47444</v>
      </c>
      <c r="GF30">
        <v>25</v>
      </c>
      <c r="GG30">
        <v>360</v>
      </c>
      <c r="GH30">
        <v>28</v>
      </c>
      <c r="GI30">
        <v>4548</v>
      </c>
      <c r="GJ30">
        <v>7737</v>
      </c>
      <c r="GK30">
        <v>7974</v>
      </c>
      <c r="GL30">
        <v>5615</v>
      </c>
      <c r="GM30">
        <v>3940</v>
      </c>
      <c r="GN30">
        <v>3366</v>
      </c>
      <c r="GO30">
        <v>3154</v>
      </c>
      <c r="GP30">
        <v>2849</v>
      </c>
      <c r="GQ30">
        <v>2529</v>
      </c>
      <c r="GR30">
        <v>2283</v>
      </c>
      <c r="GS30">
        <v>1777</v>
      </c>
      <c r="GT30">
        <v>1264</v>
      </c>
      <c r="GU30">
        <v>901</v>
      </c>
      <c r="GV30">
        <v>737</v>
      </c>
      <c r="GW30">
        <v>482</v>
      </c>
      <c r="GX30">
        <v>387</v>
      </c>
      <c r="GY30">
        <v>222</v>
      </c>
      <c r="GZ30">
        <v>221</v>
      </c>
      <c r="HA30">
        <v>4563</v>
      </c>
      <c r="HB30">
        <v>7871</v>
      </c>
      <c r="HC30">
        <v>7751</v>
      </c>
      <c r="HD30">
        <v>5519</v>
      </c>
      <c r="HE30">
        <v>4424</v>
      </c>
      <c r="HF30">
        <v>4190</v>
      </c>
      <c r="HG30">
        <v>3893</v>
      </c>
      <c r="HH30">
        <v>3519</v>
      </c>
      <c r="HI30">
        <v>2887</v>
      </c>
      <c r="HJ30">
        <v>2674</v>
      </c>
      <c r="HK30">
        <v>1952</v>
      </c>
      <c r="HL30">
        <v>1462</v>
      </c>
      <c r="HM30">
        <v>972</v>
      </c>
      <c r="HN30">
        <v>826</v>
      </c>
      <c r="HO30">
        <v>471</v>
      </c>
      <c r="HP30">
        <v>341</v>
      </c>
      <c r="HQ30">
        <v>198</v>
      </c>
      <c r="HR30">
        <v>169</v>
      </c>
      <c r="HS30">
        <v>24936</v>
      </c>
      <c r="HT30">
        <v>0</v>
      </c>
      <c r="HU30">
        <v>2</v>
      </c>
      <c r="HV30">
        <v>0</v>
      </c>
      <c r="HW30">
        <v>7</v>
      </c>
      <c r="HX30">
        <v>0</v>
      </c>
      <c r="HY30">
        <v>0</v>
      </c>
      <c r="HZ30">
        <v>1</v>
      </c>
      <c r="IA30">
        <v>975</v>
      </c>
      <c r="IB30">
        <v>2661</v>
      </c>
      <c r="IC30">
        <v>3888</v>
      </c>
      <c r="ID30">
        <v>4604</v>
      </c>
      <c r="IE30">
        <v>4207</v>
      </c>
      <c r="IF30">
        <v>3401</v>
      </c>
      <c r="IG30">
        <v>2432</v>
      </c>
      <c r="IH30">
        <v>1745</v>
      </c>
      <c r="II30">
        <v>2725</v>
      </c>
      <c r="IJ30">
        <v>1167</v>
      </c>
      <c r="IK30">
        <v>11387</v>
      </c>
      <c r="IL30">
        <v>8079</v>
      </c>
      <c r="IM30">
        <v>3474</v>
      </c>
      <c r="IN30">
        <v>1684</v>
      </c>
      <c r="IO30">
        <v>549</v>
      </c>
      <c r="IP30">
        <v>181</v>
      </c>
      <c r="IQ30">
        <v>63</v>
      </c>
      <c r="IR30">
        <v>51</v>
      </c>
      <c r="IS30">
        <v>13233</v>
      </c>
      <c r="IT30">
        <v>8325</v>
      </c>
      <c r="IU30">
        <v>3219</v>
      </c>
      <c r="IV30">
        <v>1399</v>
      </c>
      <c r="IW30">
        <v>459</v>
      </c>
      <c r="IX30">
        <v>5976</v>
      </c>
      <c r="IY30">
        <v>10983</v>
      </c>
      <c r="IZ30">
        <v>139</v>
      </c>
      <c r="JA30">
        <v>247</v>
      </c>
      <c r="JB30">
        <v>36</v>
      </c>
      <c r="JC30">
        <v>1518</v>
      </c>
      <c r="JD30">
        <v>21799</v>
      </c>
      <c r="JE30">
        <v>4836</v>
      </c>
      <c r="JF30">
        <v>3</v>
      </c>
      <c r="JH30" s="28">
        <v>14350.543614717435</v>
      </c>
      <c r="JI30" s="28">
        <v>4713.2823471036418</v>
      </c>
      <c r="JJ30">
        <v>6402</v>
      </c>
      <c r="JK30">
        <v>19892</v>
      </c>
      <c r="JL30">
        <v>341</v>
      </c>
      <c r="JM30">
        <v>3</v>
      </c>
      <c r="JN30">
        <v>6118</v>
      </c>
      <c r="JO30">
        <v>1177</v>
      </c>
      <c r="JP30">
        <v>1387</v>
      </c>
      <c r="JQ30">
        <v>10239</v>
      </c>
      <c r="JR30">
        <v>12024</v>
      </c>
      <c r="JS30">
        <v>643</v>
      </c>
      <c r="JT30">
        <v>253</v>
      </c>
      <c r="JU30">
        <v>9219</v>
      </c>
      <c r="JV30">
        <v>789</v>
      </c>
      <c r="JW30" s="28"/>
      <c r="JX30" s="28"/>
      <c r="JY30" s="28"/>
      <c r="JZ30" s="28"/>
      <c r="KA30" s="28">
        <v>24957.9999436</v>
      </c>
      <c r="KB30">
        <v>129482</v>
      </c>
      <c r="KC30">
        <v>0</v>
      </c>
      <c r="KD30">
        <v>3</v>
      </c>
      <c r="KE30">
        <v>0</v>
      </c>
      <c r="KF30">
        <v>15</v>
      </c>
      <c r="KG30">
        <v>0</v>
      </c>
      <c r="KH30">
        <v>0</v>
      </c>
      <c r="KI30">
        <v>3</v>
      </c>
      <c r="KJ30">
        <v>33854</v>
      </c>
      <c r="KK30">
        <v>101328</v>
      </c>
      <c r="KL30">
        <v>1570</v>
      </c>
      <c r="KM30">
        <v>21</v>
      </c>
      <c r="KT30">
        <v>22842</v>
      </c>
      <c r="KU30">
        <v>21592</v>
      </c>
      <c r="KV30">
        <v>19624</v>
      </c>
      <c r="KW30">
        <v>2072</v>
      </c>
      <c r="KX30">
        <v>361</v>
      </c>
      <c r="KZ30">
        <v>18710</v>
      </c>
      <c r="LA30">
        <v>1778</v>
      </c>
      <c r="LB30">
        <v>261</v>
      </c>
      <c r="LD30">
        <v>12905</v>
      </c>
      <c r="LE30">
        <v>12674</v>
      </c>
      <c r="LF30">
        <v>6668</v>
      </c>
      <c r="LG30">
        <v>14748</v>
      </c>
      <c r="LH30">
        <v>80490</v>
      </c>
      <c r="LI30">
        <v>76</v>
      </c>
      <c r="LJ30">
        <v>6512</v>
      </c>
      <c r="LK30">
        <v>1900</v>
      </c>
      <c r="LL30">
        <v>7509</v>
      </c>
      <c r="LM30">
        <v>17</v>
      </c>
      <c r="LN30">
        <v>6655</v>
      </c>
      <c r="LO30">
        <v>1110</v>
      </c>
      <c r="LP30">
        <v>108</v>
      </c>
      <c r="LQ30">
        <v>6453</v>
      </c>
      <c r="LR30">
        <v>1633</v>
      </c>
      <c r="LS30">
        <v>6417</v>
      </c>
      <c r="LT30">
        <v>9</v>
      </c>
      <c r="LU30">
        <v>4123</v>
      </c>
      <c r="LV30">
        <v>653</v>
      </c>
      <c r="LW30" s="44"/>
      <c r="LX30" s="44"/>
      <c r="LY30" s="44"/>
      <c r="LZ30">
        <v>26638</v>
      </c>
      <c r="MA30">
        <v>136773</v>
      </c>
      <c r="MB30">
        <v>127914</v>
      </c>
      <c r="MC30">
        <v>112485</v>
      </c>
      <c r="MD30" s="26">
        <v>26.607032</v>
      </c>
      <c r="ME30" s="26">
        <v>14.097605</v>
      </c>
      <c r="MF30" s="26">
        <v>60.391352999999995</v>
      </c>
      <c r="MG30" s="26">
        <v>24.428464999999999</v>
      </c>
      <c r="MH30" s="26">
        <v>24.033335999999998</v>
      </c>
      <c r="MI30" s="26">
        <v>11.194533999999999</v>
      </c>
      <c r="MJ30" s="26">
        <v>13.548314</v>
      </c>
      <c r="MK30" s="26">
        <v>18.154515999999997</v>
      </c>
      <c r="ML30" s="26">
        <v>6.3067799999999998</v>
      </c>
      <c r="MM30" s="26">
        <v>95.581499999999991</v>
      </c>
      <c r="MN30" s="26">
        <v>77.032809999999998</v>
      </c>
      <c r="MO30" s="26">
        <v>2.1683399999999997</v>
      </c>
      <c r="MP30" t="s">
        <v>1030</v>
      </c>
      <c r="MQ30">
        <v>97</v>
      </c>
      <c r="MR30">
        <v>12</v>
      </c>
    </row>
    <row r="31" spans="1:356">
      <c r="A31" t="s">
        <v>71</v>
      </c>
      <c r="B31" t="s">
        <v>72</v>
      </c>
      <c r="C31">
        <v>64013</v>
      </c>
      <c r="D31">
        <v>78114</v>
      </c>
      <c r="E31">
        <v>88106</v>
      </c>
      <c r="F31">
        <f t="shared" si="0"/>
        <v>9992</v>
      </c>
      <c r="G31" s="26">
        <f t="shared" si="1"/>
        <v>12.79156105179608</v>
      </c>
      <c r="H31">
        <v>43677</v>
      </c>
      <c r="I31">
        <v>44429</v>
      </c>
      <c r="J31">
        <v>52670</v>
      </c>
      <c r="K31">
        <v>35436</v>
      </c>
      <c r="L31">
        <v>4315</v>
      </c>
      <c r="M31">
        <v>4477</v>
      </c>
      <c r="N31">
        <v>4304</v>
      </c>
      <c r="O31">
        <v>4059</v>
      </c>
      <c r="P31">
        <v>3564</v>
      </c>
      <c r="Q31">
        <v>3218</v>
      </c>
      <c r="R31">
        <v>3070</v>
      </c>
      <c r="S31">
        <v>2812</v>
      </c>
      <c r="T31">
        <v>2581</v>
      </c>
      <c r="U31">
        <v>2352</v>
      </c>
      <c r="V31">
        <v>2159</v>
      </c>
      <c r="W31">
        <v>1766</v>
      </c>
      <c r="X31">
        <v>1484</v>
      </c>
      <c r="Y31">
        <v>3490</v>
      </c>
      <c r="Z31">
        <v>26</v>
      </c>
      <c r="AA31">
        <v>4101</v>
      </c>
      <c r="AB31">
        <v>4400</v>
      </c>
      <c r="AC31">
        <v>4279</v>
      </c>
      <c r="AD31">
        <v>3833</v>
      </c>
      <c r="AE31">
        <v>3544</v>
      </c>
      <c r="AF31">
        <v>3421</v>
      </c>
      <c r="AG31">
        <v>3367</v>
      </c>
      <c r="AH31">
        <v>3063</v>
      </c>
      <c r="AI31">
        <v>2919</v>
      </c>
      <c r="AJ31">
        <v>2526</v>
      </c>
      <c r="AK31">
        <v>2193</v>
      </c>
      <c r="AL31">
        <v>1788</v>
      </c>
      <c r="AM31">
        <v>1425</v>
      </c>
      <c r="AN31">
        <v>3543</v>
      </c>
      <c r="AO31">
        <v>27</v>
      </c>
      <c r="AP31">
        <v>84275</v>
      </c>
      <c r="AQ31">
        <v>2481</v>
      </c>
      <c r="AR31">
        <v>42</v>
      </c>
      <c r="AS31">
        <v>88</v>
      </c>
      <c r="AT31">
        <v>1220</v>
      </c>
      <c r="AU31">
        <v>6023</v>
      </c>
      <c r="AV31">
        <v>3041</v>
      </c>
      <c r="AW31">
        <v>2982</v>
      </c>
      <c r="AX31">
        <v>3351</v>
      </c>
      <c r="AY31">
        <v>4917</v>
      </c>
      <c r="AZ31">
        <v>4650</v>
      </c>
      <c r="BA31">
        <v>267</v>
      </c>
      <c r="BB31">
        <v>182</v>
      </c>
      <c r="BC31">
        <v>163</v>
      </c>
      <c r="BD31">
        <v>478</v>
      </c>
      <c r="BE31">
        <v>468</v>
      </c>
      <c r="BF31">
        <v>437</v>
      </c>
      <c r="BG31">
        <v>450</v>
      </c>
      <c r="BH31">
        <v>338</v>
      </c>
      <c r="BI31">
        <v>339</v>
      </c>
      <c r="BJ31">
        <v>273</v>
      </c>
      <c r="BK31">
        <v>287</v>
      </c>
      <c r="BL31">
        <v>235</v>
      </c>
      <c r="BM31">
        <v>228</v>
      </c>
      <c r="BN31">
        <v>229</v>
      </c>
      <c r="BO31">
        <v>241</v>
      </c>
      <c r="BP31">
        <v>177</v>
      </c>
      <c r="BQ31">
        <v>161</v>
      </c>
      <c r="BR31">
        <v>140</v>
      </c>
      <c r="BS31">
        <v>158</v>
      </c>
      <c r="BT31">
        <v>142</v>
      </c>
      <c r="BU31">
        <v>132</v>
      </c>
      <c r="BV31">
        <v>108</v>
      </c>
      <c r="BW31">
        <v>102</v>
      </c>
      <c r="BX31">
        <v>98</v>
      </c>
      <c r="BY31">
        <v>80</v>
      </c>
      <c r="BZ31">
        <v>64</v>
      </c>
      <c r="CA31">
        <v>45</v>
      </c>
      <c r="CB31">
        <v>140</v>
      </c>
      <c r="CC31">
        <v>128</v>
      </c>
      <c r="CD31">
        <v>2779</v>
      </c>
      <c r="CE31">
        <v>2668</v>
      </c>
      <c r="CF31">
        <v>249</v>
      </c>
      <c r="CG31">
        <v>299</v>
      </c>
      <c r="CH31">
        <v>15480</v>
      </c>
      <c r="CI31">
        <v>6285</v>
      </c>
      <c r="CJ31">
        <v>63770</v>
      </c>
      <c r="CK31">
        <v>22934</v>
      </c>
      <c r="CL31">
        <v>1997</v>
      </c>
      <c r="CM31">
        <v>3481</v>
      </c>
      <c r="CN31">
        <v>4116</v>
      </c>
      <c r="CO31">
        <v>4734</v>
      </c>
      <c r="CP31">
        <v>3430</v>
      </c>
      <c r="CQ31">
        <v>4007</v>
      </c>
      <c r="CR31">
        <v>15077</v>
      </c>
      <c r="CS31">
        <v>35569</v>
      </c>
      <c r="CT31">
        <v>8284</v>
      </c>
      <c r="CU31">
        <v>2389</v>
      </c>
      <c r="CV31">
        <v>780</v>
      </c>
      <c r="CW31">
        <v>2483</v>
      </c>
      <c r="CX31">
        <v>315</v>
      </c>
      <c r="CY31">
        <v>13539</v>
      </c>
      <c r="CZ31">
        <v>6002</v>
      </c>
      <c r="DA31">
        <v>155</v>
      </c>
      <c r="DB31">
        <v>1997</v>
      </c>
      <c r="DC31">
        <v>59</v>
      </c>
      <c r="DD31">
        <v>5067</v>
      </c>
      <c r="DE31">
        <v>4998</v>
      </c>
      <c r="DF31">
        <v>4590</v>
      </c>
      <c r="DG31">
        <v>20781</v>
      </c>
      <c r="DH31">
        <v>3469</v>
      </c>
      <c r="DI31">
        <v>0</v>
      </c>
      <c r="DJ31">
        <v>49201</v>
      </c>
      <c r="DK31">
        <v>0</v>
      </c>
      <c r="DL31">
        <v>0</v>
      </c>
      <c r="DM31">
        <v>541</v>
      </c>
      <c r="DN31">
        <v>30</v>
      </c>
      <c r="DO31">
        <v>12</v>
      </c>
      <c r="DP31">
        <v>19</v>
      </c>
      <c r="DQ31">
        <v>1</v>
      </c>
      <c r="DR31">
        <v>0</v>
      </c>
      <c r="DS31">
        <v>1</v>
      </c>
      <c r="DT31">
        <v>0</v>
      </c>
      <c r="DU31">
        <v>0</v>
      </c>
      <c r="DV31">
        <v>2266</v>
      </c>
      <c r="DW31">
        <v>2535</v>
      </c>
      <c r="DX31">
        <v>3336</v>
      </c>
      <c r="DY31">
        <v>4137</v>
      </c>
      <c r="DZ31">
        <v>1432</v>
      </c>
      <c r="EA31">
        <v>1212</v>
      </c>
      <c r="EB31">
        <v>705</v>
      </c>
      <c r="EC31">
        <v>583</v>
      </c>
      <c r="ED31">
        <v>572</v>
      </c>
      <c r="EE31">
        <v>654</v>
      </c>
      <c r="EF31">
        <v>923</v>
      </c>
      <c r="EG31">
        <v>1128</v>
      </c>
      <c r="EH31">
        <v>482</v>
      </c>
      <c r="EI31">
        <v>411</v>
      </c>
      <c r="EJ31">
        <v>2764</v>
      </c>
      <c r="EK31">
        <v>4324</v>
      </c>
      <c r="EL31">
        <v>1521</v>
      </c>
      <c r="EM31">
        <v>657</v>
      </c>
      <c r="EN31">
        <v>663</v>
      </c>
      <c r="EO31">
        <v>1172</v>
      </c>
      <c r="EP31">
        <v>417</v>
      </c>
      <c r="EQ31">
        <v>26109</v>
      </c>
      <c r="ER31">
        <v>25425</v>
      </c>
      <c r="ES31">
        <v>684</v>
      </c>
      <c r="ET31">
        <v>6753</v>
      </c>
      <c r="EU31">
        <v>13876</v>
      </c>
      <c r="EV31">
        <v>13655</v>
      </c>
      <c r="EW31">
        <v>221</v>
      </c>
      <c r="EX31">
        <v>20169</v>
      </c>
      <c r="EY31" s="26">
        <v>32.394768999999997</v>
      </c>
      <c r="EZ31" s="26">
        <v>16.240262999999999</v>
      </c>
      <c r="FA31" s="26">
        <v>16.047308999999998</v>
      </c>
      <c r="FB31" s="26">
        <v>34.542271</v>
      </c>
      <c r="FC31" s="26">
        <v>0.77538799999999997</v>
      </c>
      <c r="FD31">
        <v>4265</v>
      </c>
      <c r="FE31">
        <v>11934</v>
      </c>
      <c r="FF31">
        <v>1275</v>
      </c>
      <c r="FG31">
        <v>8464</v>
      </c>
      <c r="FH31">
        <v>31</v>
      </c>
      <c r="FI31">
        <v>7156</v>
      </c>
      <c r="FJ31">
        <v>6839</v>
      </c>
      <c r="FK31" s="26" t="s">
        <v>359</v>
      </c>
      <c r="FL31" s="26" t="s">
        <v>359</v>
      </c>
      <c r="FM31" s="26" t="s">
        <v>359</v>
      </c>
      <c r="FN31" s="26" t="s">
        <v>359</v>
      </c>
      <c r="FO31" s="28">
        <v>22430</v>
      </c>
      <c r="FP31" s="28">
        <v>21187</v>
      </c>
      <c r="FQ31">
        <v>4609</v>
      </c>
      <c r="FR31">
        <v>2136</v>
      </c>
      <c r="FS31">
        <v>607</v>
      </c>
      <c r="FT31">
        <v>416</v>
      </c>
      <c r="FU31">
        <v>13801</v>
      </c>
      <c r="FV31">
        <v>279</v>
      </c>
      <c r="FW31">
        <v>390</v>
      </c>
      <c r="FX31">
        <v>60</v>
      </c>
      <c r="FY31">
        <v>24617</v>
      </c>
      <c r="FZ31">
        <v>19781</v>
      </c>
      <c r="GA31">
        <v>4618</v>
      </c>
      <c r="GB31">
        <v>2526</v>
      </c>
      <c r="GC31">
        <v>743</v>
      </c>
      <c r="GD31">
        <v>433</v>
      </c>
      <c r="GE31">
        <v>15322</v>
      </c>
      <c r="GF31">
        <v>277</v>
      </c>
      <c r="GG31">
        <v>545</v>
      </c>
      <c r="GH31">
        <v>31</v>
      </c>
      <c r="GI31">
        <v>2131</v>
      </c>
      <c r="GJ31">
        <v>2576</v>
      </c>
      <c r="GK31">
        <v>2502</v>
      </c>
      <c r="GL31">
        <v>2310</v>
      </c>
      <c r="GM31">
        <v>1658</v>
      </c>
      <c r="GN31">
        <v>1421</v>
      </c>
      <c r="GO31">
        <v>1423</v>
      </c>
      <c r="GP31">
        <v>1380</v>
      </c>
      <c r="GQ31">
        <v>1291</v>
      </c>
      <c r="GR31">
        <v>1106</v>
      </c>
      <c r="GS31">
        <v>1053</v>
      </c>
      <c r="GT31">
        <v>885</v>
      </c>
      <c r="GU31">
        <v>759</v>
      </c>
      <c r="GV31">
        <v>610</v>
      </c>
      <c r="GW31">
        <v>493</v>
      </c>
      <c r="GX31">
        <v>394</v>
      </c>
      <c r="GY31">
        <v>219</v>
      </c>
      <c r="GZ31">
        <v>219</v>
      </c>
      <c r="HA31">
        <v>1994</v>
      </c>
      <c r="HB31">
        <v>2496</v>
      </c>
      <c r="HC31">
        <v>2535</v>
      </c>
      <c r="HD31">
        <v>2241</v>
      </c>
      <c r="HE31">
        <v>1817</v>
      </c>
      <c r="HF31">
        <v>1796</v>
      </c>
      <c r="HG31">
        <v>1860</v>
      </c>
      <c r="HH31">
        <v>1774</v>
      </c>
      <c r="HI31">
        <v>1660</v>
      </c>
      <c r="HJ31">
        <v>1428</v>
      </c>
      <c r="HK31">
        <v>1188</v>
      </c>
      <c r="HL31">
        <v>1004</v>
      </c>
      <c r="HM31">
        <v>802</v>
      </c>
      <c r="HN31">
        <v>643</v>
      </c>
      <c r="HO31">
        <v>535</v>
      </c>
      <c r="HP31">
        <v>385</v>
      </c>
      <c r="HQ31">
        <v>247</v>
      </c>
      <c r="HR31">
        <v>212</v>
      </c>
      <c r="HS31">
        <v>18719</v>
      </c>
      <c r="HT31">
        <v>68</v>
      </c>
      <c r="HU31">
        <v>48</v>
      </c>
      <c r="HV31">
        <v>0</v>
      </c>
      <c r="HW31">
        <v>21</v>
      </c>
      <c r="HX31">
        <v>0</v>
      </c>
      <c r="HY31">
        <v>2</v>
      </c>
      <c r="HZ31">
        <v>1</v>
      </c>
      <c r="IA31">
        <v>1994</v>
      </c>
      <c r="IB31">
        <v>3473</v>
      </c>
      <c r="IC31">
        <v>4112</v>
      </c>
      <c r="ID31">
        <v>4730</v>
      </c>
      <c r="IE31">
        <v>3428</v>
      </c>
      <c r="IF31">
        <v>1752</v>
      </c>
      <c r="IG31">
        <v>959</v>
      </c>
      <c r="IH31">
        <v>547</v>
      </c>
      <c r="II31">
        <v>747</v>
      </c>
      <c r="IJ31">
        <v>2250</v>
      </c>
      <c r="IK31">
        <v>5051</v>
      </c>
      <c r="IL31">
        <v>6238</v>
      </c>
      <c r="IM31">
        <v>4887</v>
      </c>
      <c r="IN31">
        <v>2187</v>
      </c>
      <c r="IO31">
        <v>771</v>
      </c>
      <c r="IP31">
        <v>203</v>
      </c>
      <c r="IQ31">
        <v>83</v>
      </c>
      <c r="IR31">
        <v>61</v>
      </c>
      <c r="IS31">
        <v>8567</v>
      </c>
      <c r="IT31">
        <v>8847</v>
      </c>
      <c r="IU31">
        <v>3424</v>
      </c>
      <c r="IV31">
        <v>735</v>
      </c>
      <c r="IW31">
        <v>158</v>
      </c>
      <c r="IX31">
        <v>7840</v>
      </c>
      <c r="IY31">
        <v>6226</v>
      </c>
      <c r="IZ31">
        <v>9</v>
      </c>
      <c r="JA31">
        <v>203</v>
      </c>
      <c r="JB31">
        <v>456</v>
      </c>
      <c r="JC31">
        <v>1624</v>
      </c>
      <c r="JD31">
        <v>20753</v>
      </c>
      <c r="JE31">
        <v>978</v>
      </c>
      <c r="JF31">
        <v>11</v>
      </c>
      <c r="JH31" s="28">
        <v>16152.870679848314</v>
      </c>
      <c r="JI31" s="28">
        <v>1493.0061114655828</v>
      </c>
      <c r="JJ31">
        <v>1749</v>
      </c>
      <c r="JK31">
        <v>17943</v>
      </c>
      <c r="JL31">
        <v>2039</v>
      </c>
      <c r="JM31">
        <v>11</v>
      </c>
      <c r="JN31">
        <v>16279</v>
      </c>
      <c r="JO31">
        <v>11444</v>
      </c>
      <c r="JP31">
        <v>4930</v>
      </c>
      <c r="JQ31">
        <v>13769</v>
      </c>
      <c r="JR31">
        <v>18769</v>
      </c>
      <c r="JS31">
        <v>3089</v>
      </c>
      <c r="JT31">
        <v>3083</v>
      </c>
      <c r="JU31">
        <v>16080</v>
      </c>
      <c r="JV31">
        <v>4646</v>
      </c>
      <c r="JW31" s="28"/>
      <c r="JX31" s="28"/>
      <c r="JY31" s="28"/>
      <c r="JZ31" s="28"/>
      <c r="KA31" s="28">
        <v>21355.000009700001</v>
      </c>
      <c r="KB31">
        <v>75182</v>
      </c>
      <c r="KC31">
        <v>217</v>
      </c>
      <c r="KD31">
        <v>133</v>
      </c>
      <c r="KE31">
        <v>0</v>
      </c>
      <c r="KF31">
        <v>70</v>
      </c>
      <c r="KG31">
        <v>0</v>
      </c>
      <c r="KH31">
        <v>3</v>
      </c>
      <c r="KI31">
        <v>2</v>
      </c>
      <c r="KJ31">
        <v>7391</v>
      </c>
      <c r="KK31">
        <v>71641</v>
      </c>
      <c r="KL31">
        <v>7550</v>
      </c>
      <c r="KM31">
        <v>49</v>
      </c>
      <c r="KT31">
        <v>12451</v>
      </c>
      <c r="KU31">
        <v>12275</v>
      </c>
      <c r="KV31">
        <v>9576</v>
      </c>
      <c r="KW31">
        <v>1640</v>
      </c>
      <c r="KX31">
        <v>893</v>
      </c>
      <c r="KZ31">
        <v>9586</v>
      </c>
      <c r="LA31">
        <v>1557</v>
      </c>
      <c r="LB31">
        <v>819</v>
      </c>
      <c r="LD31">
        <v>6720</v>
      </c>
      <c r="LE31">
        <v>6800</v>
      </c>
      <c r="LF31">
        <v>2666</v>
      </c>
      <c r="LG31">
        <v>3575</v>
      </c>
      <c r="LH31">
        <v>62177</v>
      </c>
      <c r="LI31">
        <v>102</v>
      </c>
      <c r="LJ31">
        <v>4035</v>
      </c>
      <c r="LK31">
        <v>927</v>
      </c>
      <c r="LL31">
        <v>6029</v>
      </c>
      <c r="LM31">
        <v>19</v>
      </c>
      <c r="LN31">
        <v>4393</v>
      </c>
      <c r="LO31">
        <v>3198</v>
      </c>
      <c r="LP31">
        <v>96</v>
      </c>
      <c r="LQ31">
        <v>4612</v>
      </c>
      <c r="LR31">
        <v>873</v>
      </c>
      <c r="LS31">
        <v>7290</v>
      </c>
      <c r="LT31">
        <v>31</v>
      </c>
      <c r="LU31">
        <v>4159</v>
      </c>
      <c r="LV31">
        <v>3114</v>
      </c>
      <c r="LW31" s="44"/>
      <c r="LX31" s="44"/>
      <c r="LY31" s="44"/>
      <c r="LZ31">
        <v>21742</v>
      </c>
      <c r="MA31">
        <v>86631</v>
      </c>
      <c r="MB31">
        <v>84455</v>
      </c>
      <c r="MC31">
        <v>6052</v>
      </c>
      <c r="MD31" s="26">
        <v>10.037474</v>
      </c>
      <c r="ME31" s="26">
        <v>7.224456</v>
      </c>
      <c r="MF31" s="26">
        <v>44.017883999999995</v>
      </c>
      <c r="MG31" s="26">
        <v>46.498536000000001</v>
      </c>
      <c r="MH31" s="26">
        <v>8.0443379999999998</v>
      </c>
      <c r="MI31" s="26">
        <v>3.799099</v>
      </c>
      <c r="MJ31" s="26">
        <v>7.3314319999999995</v>
      </c>
      <c r="MK31" s="26">
        <v>4.4982059999999997</v>
      </c>
      <c r="ML31" s="26">
        <v>1.779965</v>
      </c>
      <c r="MM31" s="26">
        <v>47.364547999999999</v>
      </c>
      <c r="MN31" s="26">
        <v>25.126483</v>
      </c>
      <c r="MO31" s="26">
        <v>-0.137743</v>
      </c>
      <c r="MP31" t="s">
        <v>1027</v>
      </c>
      <c r="MQ31">
        <v>1164</v>
      </c>
      <c r="MR31">
        <v>106</v>
      </c>
    </row>
    <row r="32" spans="1:356">
      <c r="A32" t="s">
        <v>73</v>
      </c>
      <c r="B32" t="s">
        <v>74</v>
      </c>
      <c r="C32">
        <v>7217</v>
      </c>
      <c r="D32">
        <v>8444</v>
      </c>
      <c r="E32">
        <v>9900</v>
      </c>
      <c r="F32">
        <f t="shared" si="0"/>
        <v>1456</v>
      </c>
      <c r="G32" s="26">
        <f t="shared" si="1"/>
        <v>17.243012790146835</v>
      </c>
      <c r="H32">
        <v>4873</v>
      </c>
      <c r="I32">
        <v>5027</v>
      </c>
      <c r="J32">
        <v>3770</v>
      </c>
      <c r="K32">
        <v>6130</v>
      </c>
      <c r="L32">
        <v>558</v>
      </c>
      <c r="M32">
        <v>606</v>
      </c>
      <c r="N32">
        <v>544</v>
      </c>
      <c r="O32">
        <v>480</v>
      </c>
      <c r="P32">
        <v>400</v>
      </c>
      <c r="Q32">
        <v>344</v>
      </c>
      <c r="R32">
        <v>315</v>
      </c>
      <c r="S32">
        <v>313</v>
      </c>
      <c r="T32">
        <v>278</v>
      </c>
      <c r="U32">
        <v>214</v>
      </c>
      <c r="V32">
        <v>173</v>
      </c>
      <c r="W32">
        <v>152</v>
      </c>
      <c r="X32">
        <v>142</v>
      </c>
      <c r="Y32">
        <v>354</v>
      </c>
      <c r="Z32">
        <v>0</v>
      </c>
      <c r="AA32">
        <v>568</v>
      </c>
      <c r="AB32">
        <v>567</v>
      </c>
      <c r="AC32">
        <v>520</v>
      </c>
      <c r="AD32">
        <v>482</v>
      </c>
      <c r="AE32">
        <v>452</v>
      </c>
      <c r="AF32">
        <v>436</v>
      </c>
      <c r="AG32">
        <v>341</v>
      </c>
      <c r="AH32">
        <v>337</v>
      </c>
      <c r="AI32">
        <v>248</v>
      </c>
      <c r="AJ32">
        <v>248</v>
      </c>
      <c r="AK32">
        <v>171</v>
      </c>
      <c r="AL32">
        <v>175</v>
      </c>
      <c r="AM32">
        <v>147</v>
      </c>
      <c r="AN32">
        <v>335</v>
      </c>
      <c r="AO32">
        <v>0</v>
      </c>
      <c r="AP32">
        <v>9788</v>
      </c>
      <c r="AQ32">
        <v>91</v>
      </c>
      <c r="AR32">
        <v>13</v>
      </c>
      <c r="AS32">
        <v>3</v>
      </c>
      <c r="AT32">
        <v>5</v>
      </c>
      <c r="AU32">
        <v>1034</v>
      </c>
      <c r="AV32">
        <v>509</v>
      </c>
      <c r="AW32">
        <v>525</v>
      </c>
      <c r="AX32">
        <v>997</v>
      </c>
      <c r="AY32">
        <v>1193</v>
      </c>
      <c r="AZ32">
        <v>1022</v>
      </c>
      <c r="BA32">
        <v>171</v>
      </c>
      <c r="BB32">
        <v>7</v>
      </c>
      <c r="BC32">
        <v>12</v>
      </c>
      <c r="BD32">
        <v>36</v>
      </c>
      <c r="BE32">
        <v>35</v>
      </c>
      <c r="BF32">
        <v>47</v>
      </c>
      <c r="BG32">
        <v>49</v>
      </c>
      <c r="BH32">
        <v>63</v>
      </c>
      <c r="BI32">
        <v>56</v>
      </c>
      <c r="BJ32">
        <v>53</v>
      </c>
      <c r="BK32">
        <v>61</v>
      </c>
      <c r="BL32">
        <v>42</v>
      </c>
      <c r="BM32">
        <v>46</v>
      </c>
      <c r="BN32">
        <v>39</v>
      </c>
      <c r="BO32">
        <v>41</v>
      </c>
      <c r="BP32">
        <v>35</v>
      </c>
      <c r="BQ32">
        <v>44</v>
      </c>
      <c r="BR32">
        <v>38</v>
      </c>
      <c r="BS32">
        <v>29</v>
      </c>
      <c r="BT32">
        <v>31</v>
      </c>
      <c r="BU32">
        <v>39</v>
      </c>
      <c r="BV32">
        <v>23</v>
      </c>
      <c r="BW32">
        <v>17</v>
      </c>
      <c r="BX32">
        <v>17</v>
      </c>
      <c r="BY32">
        <v>24</v>
      </c>
      <c r="BZ32">
        <v>21</v>
      </c>
      <c r="CA32">
        <v>21</v>
      </c>
      <c r="CB32">
        <v>57</v>
      </c>
      <c r="CC32">
        <v>51</v>
      </c>
      <c r="CD32">
        <v>508</v>
      </c>
      <c r="CE32">
        <v>519</v>
      </c>
      <c r="CF32">
        <v>0</v>
      </c>
      <c r="CG32">
        <v>5</v>
      </c>
      <c r="CH32">
        <v>1891</v>
      </c>
      <c r="CI32">
        <v>553</v>
      </c>
      <c r="CJ32">
        <v>8008</v>
      </c>
      <c r="CK32">
        <v>1838</v>
      </c>
      <c r="CL32">
        <v>219</v>
      </c>
      <c r="CM32">
        <v>375</v>
      </c>
      <c r="CN32">
        <v>466</v>
      </c>
      <c r="CO32">
        <v>511</v>
      </c>
      <c r="CP32">
        <v>371</v>
      </c>
      <c r="CQ32">
        <v>502</v>
      </c>
      <c r="CR32">
        <v>1848</v>
      </c>
      <c r="CS32">
        <v>4498</v>
      </c>
      <c r="CT32">
        <v>569</v>
      </c>
      <c r="CU32">
        <v>244</v>
      </c>
      <c r="CV32">
        <v>93</v>
      </c>
      <c r="CW32">
        <v>141</v>
      </c>
      <c r="CX32">
        <v>9</v>
      </c>
      <c r="CY32">
        <v>1663</v>
      </c>
      <c r="CZ32">
        <v>556</v>
      </c>
      <c r="DA32">
        <v>6</v>
      </c>
      <c r="DB32">
        <v>219</v>
      </c>
      <c r="DC32">
        <v>0</v>
      </c>
      <c r="DD32">
        <v>373</v>
      </c>
      <c r="DE32">
        <v>1048</v>
      </c>
      <c r="DF32">
        <v>564</v>
      </c>
      <c r="DG32">
        <v>4145</v>
      </c>
      <c r="DH32">
        <v>3770</v>
      </c>
      <c r="DI32">
        <v>0</v>
      </c>
      <c r="DJ32">
        <v>0</v>
      </c>
      <c r="DK32">
        <v>0</v>
      </c>
      <c r="DL32">
        <v>0</v>
      </c>
      <c r="DM32">
        <v>17</v>
      </c>
      <c r="DN32">
        <v>6</v>
      </c>
      <c r="DO32">
        <v>2</v>
      </c>
      <c r="DP32">
        <v>4</v>
      </c>
      <c r="DQ32">
        <v>1</v>
      </c>
      <c r="DR32">
        <v>0</v>
      </c>
      <c r="DS32">
        <v>0</v>
      </c>
      <c r="DT32">
        <v>0</v>
      </c>
      <c r="DU32">
        <v>0</v>
      </c>
      <c r="DV32">
        <v>245</v>
      </c>
      <c r="DW32">
        <v>265</v>
      </c>
      <c r="DX32">
        <v>396</v>
      </c>
      <c r="DY32">
        <v>423</v>
      </c>
      <c r="DZ32">
        <v>193</v>
      </c>
      <c r="EA32">
        <v>161</v>
      </c>
      <c r="EB32">
        <v>58</v>
      </c>
      <c r="EC32">
        <v>53</v>
      </c>
      <c r="ED32">
        <v>43</v>
      </c>
      <c r="EE32">
        <v>43</v>
      </c>
      <c r="EF32">
        <v>114</v>
      </c>
      <c r="EG32">
        <v>118</v>
      </c>
      <c r="EH32">
        <v>50</v>
      </c>
      <c r="EI32">
        <v>44</v>
      </c>
      <c r="EJ32">
        <v>424</v>
      </c>
      <c r="EK32">
        <v>688</v>
      </c>
      <c r="EL32">
        <v>285</v>
      </c>
      <c r="EM32">
        <v>83</v>
      </c>
      <c r="EN32">
        <v>70</v>
      </c>
      <c r="EO32">
        <v>200</v>
      </c>
      <c r="EP32">
        <v>77</v>
      </c>
      <c r="EQ32">
        <v>2817</v>
      </c>
      <c r="ER32">
        <v>2795</v>
      </c>
      <c r="ES32">
        <v>22</v>
      </c>
      <c r="ET32">
        <v>632</v>
      </c>
      <c r="EU32">
        <v>1377</v>
      </c>
      <c r="EV32">
        <v>1370</v>
      </c>
      <c r="EW32">
        <v>7</v>
      </c>
      <c r="EX32">
        <v>2278</v>
      </c>
      <c r="EY32" s="26">
        <v>67.017326999999995</v>
      </c>
      <c r="EZ32" s="26">
        <v>11.138614</v>
      </c>
      <c r="FA32" s="26">
        <v>6.7141089999999997</v>
      </c>
      <c r="FB32" s="26">
        <v>14.882426000000001</v>
      </c>
      <c r="FC32" s="26">
        <v>0.247525</v>
      </c>
      <c r="FD32">
        <v>399</v>
      </c>
      <c r="FE32">
        <v>1640</v>
      </c>
      <c r="FF32">
        <v>217</v>
      </c>
      <c r="FG32">
        <v>1079</v>
      </c>
      <c r="FH32">
        <v>2</v>
      </c>
      <c r="FI32">
        <v>494</v>
      </c>
      <c r="FJ32">
        <v>363</v>
      </c>
      <c r="FK32" s="26" t="s">
        <v>359</v>
      </c>
      <c r="FL32" s="26" t="s">
        <v>359</v>
      </c>
      <c r="FM32" s="26" t="s">
        <v>359</v>
      </c>
      <c r="FN32" s="26" t="s">
        <v>359</v>
      </c>
      <c r="FO32" s="28">
        <v>3826</v>
      </c>
      <c r="FP32" s="28">
        <v>1046</v>
      </c>
      <c r="FQ32">
        <v>129</v>
      </c>
      <c r="FR32">
        <v>106</v>
      </c>
      <c r="FS32">
        <v>46</v>
      </c>
      <c r="FT32">
        <v>5</v>
      </c>
      <c r="FU32">
        <v>3521</v>
      </c>
      <c r="FV32">
        <v>3</v>
      </c>
      <c r="FW32">
        <v>12</v>
      </c>
      <c r="FX32">
        <v>1</v>
      </c>
      <c r="FY32">
        <v>4122</v>
      </c>
      <c r="FZ32">
        <v>902</v>
      </c>
      <c r="GA32">
        <v>117</v>
      </c>
      <c r="GB32">
        <v>108</v>
      </c>
      <c r="GC32">
        <v>51</v>
      </c>
      <c r="GD32">
        <v>3</v>
      </c>
      <c r="GE32">
        <v>3814</v>
      </c>
      <c r="GF32">
        <v>1</v>
      </c>
      <c r="GG32">
        <v>20</v>
      </c>
      <c r="GH32">
        <v>3</v>
      </c>
      <c r="GI32">
        <v>359</v>
      </c>
      <c r="GJ32">
        <v>511</v>
      </c>
      <c r="GK32">
        <v>473</v>
      </c>
      <c r="GL32">
        <v>393</v>
      </c>
      <c r="GM32">
        <v>291</v>
      </c>
      <c r="GN32">
        <v>253</v>
      </c>
      <c r="GO32">
        <v>255</v>
      </c>
      <c r="GP32">
        <v>247</v>
      </c>
      <c r="GQ32">
        <v>220</v>
      </c>
      <c r="GR32">
        <v>179</v>
      </c>
      <c r="GS32">
        <v>138</v>
      </c>
      <c r="GT32">
        <v>116</v>
      </c>
      <c r="GU32">
        <v>109</v>
      </c>
      <c r="GV32">
        <v>97</v>
      </c>
      <c r="GW32">
        <v>65</v>
      </c>
      <c r="GX32">
        <v>46</v>
      </c>
      <c r="GY32">
        <v>37</v>
      </c>
      <c r="GZ32">
        <v>37</v>
      </c>
      <c r="HA32">
        <v>361</v>
      </c>
      <c r="HB32">
        <v>463</v>
      </c>
      <c r="HC32">
        <v>452</v>
      </c>
      <c r="HD32">
        <v>367</v>
      </c>
      <c r="HE32">
        <v>368</v>
      </c>
      <c r="HF32">
        <v>372</v>
      </c>
      <c r="HG32">
        <v>300</v>
      </c>
      <c r="HH32">
        <v>297</v>
      </c>
      <c r="HI32">
        <v>216</v>
      </c>
      <c r="HJ32">
        <v>223</v>
      </c>
      <c r="HK32">
        <v>144</v>
      </c>
      <c r="HL32">
        <v>154</v>
      </c>
      <c r="HM32">
        <v>113</v>
      </c>
      <c r="HN32">
        <v>110</v>
      </c>
      <c r="HO32">
        <v>69</v>
      </c>
      <c r="HP32">
        <v>54</v>
      </c>
      <c r="HQ32">
        <v>29</v>
      </c>
      <c r="HR32">
        <v>30</v>
      </c>
      <c r="HS32">
        <v>2184</v>
      </c>
      <c r="HT32">
        <v>0</v>
      </c>
      <c r="HU32">
        <v>0</v>
      </c>
      <c r="HV32">
        <v>0</v>
      </c>
      <c r="HW32">
        <v>0</v>
      </c>
      <c r="HX32">
        <v>0</v>
      </c>
      <c r="HY32">
        <v>0</v>
      </c>
      <c r="HZ32">
        <v>0</v>
      </c>
      <c r="IA32">
        <v>219</v>
      </c>
      <c r="IB32">
        <v>375</v>
      </c>
      <c r="IC32">
        <v>466</v>
      </c>
      <c r="ID32">
        <v>511</v>
      </c>
      <c r="IE32">
        <v>371</v>
      </c>
      <c r="IF32">
        <v>227</v>
      </c>
      <c r="IG32">
        <v>125</v>
      </c>
      <c r="IH32">
        <v>76</v>
      </c>
      <c r="II32">
        <v>74</v>
      </c>
      <c r="IJ32">
        <v>184</v>
      </c>
      <c r="IK32">
        <v>667</v>
      </c>
      <c r="IL32">
        <v>686</v>
      </c>
      <c r="IM32">
        <v>568</v>
      </c>
      <c r="IN32">
        <v>256</v>
      </c>
      <c r="IO32">
        <v>61</v>
      </c>
      <c r="IP32">
        <v>16</v>
      </c>
      <c r="IQ32">
        <v>5</v>
      </c>
      <c r="IR32">
        <v>1</v>
      </c>
      <c r="IS32">
        <v>1063</v>
      </c>
      <c r="IT32">
        <v>947</v>
      </c>
      <c r="IU32">
        <v>356</v>
      </c>
      <c r="IV32">
        <v>64</v>
      </c>
      <c r="IW32">
        <v>14</v>
      </c>
      <c r="IX32">
        <v>1223</v>
      </c>
      <c r="IY32">
        <v>1158</v>
      </c>
      <c r="IZ32">
        <v>4</v>
      </c>
      <c r="JA32">
        <v>14</v>
      </c>
      <c r="JB32">
        <v>0</v>
      </c>
      <c r="JC32">
        <v>5</v>
      </c>
      <c r="JD32">
        <v>2351</v>
      </c>
      <c r="JE32">
        <v>93</v>
      </c>
      <c r="JF32">
        <v>0</v>
      </c>
      <c r="JH32" s="28">
        <v>1761.1551497156943</v>
      </c>
      <c r="JI32" s="28">
        <v>199.10740128661197</v>
      </c>
      <c r="JJ32">
        <v>278</v>
      </c>
      <c r="JK32">
        <v>1873</v>
      </c>
      <c r="JL32">
        <v>293</v>
      </c>
      <c r="JM32">
        <v>0</v>
      </c>
      <c r="JN32">
        <v>1394</v>
      </c>
      <c r="JO32">
        <v>930</v>
      </c>
      <c r="JP32">
        <v>253</v>
      </c>
      <c r="JQ32">
        <v>1157</v>
      </c>
      <c r="JR32">
        <v>1873</v>
      </c>
      <c r="JS32">
        <v>186</v>
      </c>
      <c r="JT32">
        <v>36</v>
      </c>
      <c r="JU32">
        <v>1738</v>
      </c>
      <c r="JV32">
        <v>114</v>
      </c>
      <c r="JW32" s="28"/>
      <c r="JX32" s="28"/>
      <c r="JY32" s="28"/>
      <c r="JZ32" s="28"/>
      <c r="KA32" s="28">
        <v>2425.0000018400001</v>
      </c>
      <c r="KB32">
        <v>8886</v>
      </c>
      <c r="KC32">
        <v>0</v>
      </c>
      <c r="KD32">
        <v>0</v>
      </c>
      <c r="KE32">
        <v>0</v>
      </c>
      <c r="KF32">
        <v>0</v>
      </c>
      <c r="KG32">
        <v>0</v>
      </c>
      <c r="KH32">
        <v>0</v>
      </c>
      <c r="KI32">
        <v>0</v>
      </c>
      <c r="KJ32">
        <v>1145</v>
      </c>
      <c r="KK32">
        <v>7639</v>
      </c>
      <c r="KL32">
        <v>1062</v>
      </c>
      <c r="KM32">
        <v>0</v>
      </c>
      <c r="KT32">
        <v>1478</v>
      </c>
      <c r="KU32">
        <v>1413</v>
      </c>
      <c r="KV32">
        <v>1280</v>
      </c>
      <c r="KW32">
        <v>113</v>
      </c>
      <c r="KX32">
        <v>49</v>
      </c>
      <c r="KZ32">
        <v>1204</v>
      </c>
      <c r="LA32">
        <v>117</v>
      </c>
      <c r="LB32">
        <v>64</v>
      </c>
      <c r="LD32">
        <v>820</v>
      </c>
      <c r="LE32">
        <v>788</v>
      </c>
      <c r="LF32">
        <v>392</v>
      </c>
      <c r="LG32">
        <v>578</v>
      </c>
      <c r="LH32">
        <v>6537</v>
      </c>
      <c r="LI32">
        <v>5</v>
      </c>
      <c r="LJ32">
        <v>514</v>
      </c>
      <c r="LK32">
        <v>138</v>
      </c>
      <c r="LL32">
        <v>826</v>
      </c>
      <c r="LM32">
        <v>1</v>
      </c>
      <c r="LN32">
        <v>296</v>
      </c>
      <c r="LO32">
        <v>171</v>
      </c>
      <c r="LP32">
        <v>7</v>
      </c>
      <c r="LQ32">
        <v>537</v>
      </c>
      <c r="LR32">
        <v>127</v>
      </c>
      <c r="LS32">
        <v>895</v>
      </c>
      <c r="LT32">
        <v>3</v>
      </c>
      <c r="LU32">
        <v>310</v>
      </c>
      <c r="LV32">
        <v>137</v>
      </c>
      <c r="LW32" s="44"/>
      <c r="LX32" s="44"/>
      <c r="LY32" s="44"/>
      <c r="LZ32">
        <v>2444</v>
      </c>
      <c r="MA32">
        <v>9846</v>
      </c>
      <c r="MB32">
        <v>9210</v>
      </c>
      <c r="MC32">
        <v>1405</v>
      </c>
      <c r="MD32" s="26">
        <v>14.838610999999998</v>
      </c>
      <c r="ME32" s="26">
        <v>8.3043259999999997</v>
      </c>
      <c r="MF32" s="26">
        <v>52.929477999999996</v>
      </c>
      <c r="MG32" s="26">
        <v>19.676767999999999</v>
      </c>
      <c r="MH32" s="26">
        <v>11.374794999999999</v>
      </c>
      <c r="MI32" s="26">
        <v>3.6006549999999997</v>
      </c>
      <c r="MJ32" s="26">
        <v>1.391162</v>
      </c>
      <c r="MK32" s="26">
        <v>3.805237</v>
      </c>
      <c r="ML32" s="26">
        <v>0.77741399999999994</v>
      </c>
      <c r="MM32" s="26">
        <v>61.947626999999997</v>
      </c>
      <c r="MN32" s="26">
        <v>42.962356999999997</v>
      </c>
      <c r="MO32" s="26">
        <v>0.38109699999999996</v>
      </c>
      <c r="MP32" t="s">
        <v>1029</v>
      </c>
      <c r="MQ32">
        <v>680</v>
      </c>
      <c r="MR32">
        <v>66</v>
      </c>
    </row>
    <row r="33" spans="1:356">
      <c r="A33" t="s">
        <v>75</v>
      </c>
      <c r="B33" t="s">
        <v>76</v>
      </c>
      <c r="C33">
        <v>105210</v>
      </c>
      <c r="D33">
        <v>141013</v>
      </c>
      <c r="E33">
        <v>166178</v>
      </c>
      <c r="F33">
        <f t="shared" si="0"/>
        <v>25165</v>
      </c>
      <c r="G33" s="26">
        <f t="shared" si="1"/>
        <v>17.845872366377563</v>
      </c>
      <c r="H33">
        <v>79440</v>
      </c>
      <c r="I33">
        <v>86738</v>
      </c>
      <c r="J33">
        <v>116220</v>
      </c>
      <c r="K33">
        <v>49958</v>
      </c>
      <c r="L33">
        <v>7327</v>
      </c>
      <c r="M33">
        <v>8163</v>
      </c>
      <c r="N33">
        <v>8008</v>
      </c>
      <c r="O33">
        <v>7435</v>
      </c>
      <c r="P33">
        <v>6677</v>
      </c>
      <c r="Q33">
        <v>6172</v>
      </c>
      <c r="R33">
        <v>6062</v>
      </c>
      <c r="S33">
        <v>5756</v>
      </c>
      <c r="T33">
        <v>5216</v>
      </c>
      <c r="U33">
        <v>4333</v>
      </c>
      <c r="V33">
        <v>3646</v>
      </c>
      <c r="W33">
        <v>3046</v>
      </c>
      <c r="X33">
        <v>2372</v>
      </c>
      <c r="Y33">
        <v>5172</v>
      </c>
      <c r="Z33">
        <v>55</v>
      </c>
      <c r="AA33">
        <v>7271</v>
      </c>
      <c r="AB33">
        <v>8026</v>
      </c>
      <c r="AC33">
        <v>7701</v>
      </c>
      <c r="AD33">
        <v>7615</v>
      </c>
      <c r="AE33">
        <v>7441</v>
      </c>
      <c r="AF33">
        <v>7336</v>
      </c>
      <c r="AG33">
        <v>7149</v>
      </c>
      <c r="AH33">
        <v>6970</v>
      </c>
      <c r="AI33">
        <v>5960</v>
      </c>
      <c r="AJ33">
        <v>4943</v>
      </c>
      <c r="AK33">
        <v>4302</v>
      </c>
      <c r="AL33">
        <v>3355</v>
      </c>
      <c r="AM33">
        <v>2680</v>
      </c>
      <c r="AN33">
        <v>5933</v>
      </c>
      <c r="AO33">
        <v>56</v>
      </c>
      <c r="AP33">
        <v>157288</v>
      </c>
      <c r="AQ33">
        <v>6817</v>
      </c>
      <c r="AR33">
        <v>207</v>
      </c>
      <c r="AS33">
        <v>1512</v>
      </c>
      <c r="AT33">
        <v>354</v>
      </c>
      <c r="AU33">
        <v>6388</v>
      </c>
      <c r="AV33">
        <v>3066</v>
      </c>
      <c r="AW33">
        <v>3322</v>
      </c>
      <c r="AX33">
        <v>3770</v>
      </c>
      <c r="AY33">
        <v>5569</v>
      </c>
      <c r="AZ33">
        <v>1839</v>
      </c>
      <c r="BA33">
        <v>3730</v>
      </c>
      <c r="BB33">
        <v>63</v>
      </c>
      <c r="BC33">
        <v>86</v>
      </c>
      <c r="BD33">
        <v>210</v>
      </c>
      <c r="BE33">
        <v>210</v>
      </c>
      <c r="BF33">
        <v>285</v>
      </c>
      <c r="BG33">
        <v>254</v>
      </c>
      <c r="BH33">
        <v>268</v>
      </c>
      <c r="BI33">
        <v>288</v>
      </c>
      <c r="BJ33">
        <v>270</v>
      </c>
      <c r="BK33">
        <v>315</v>
      </c>
      <c r="BL33">
        <v>312</v>
      </c>
      <c r="BM33">
        <v>351</v>
      </c>
      <c r="BN33">
        <v>285</v>
      </c>
      <c r="BO33">
        <v>352</v>
      </c>
      <c r="BP33">
        <v>263</v>
      </c>
      <c r="BQ33">
        <v>335</v>
      </c>
      <c r="BR33">
        <v>216</v>
      </c>
      <c r="BS33">
        <v>233</v>
      </c>
      <c r="BT33">
        <v>185</v>
      </c>
      <c r="BU33">
        <v>196</v>
      </c>
      <c r="BV33">
        <v>180</v>
      </c>
      <c r="BW33">
        <v>215</v>
      </c>
      <c r="BX33">
        <v>137</v>
      </c>
      <c r="BY33">
        <v>149</v>
      </c>
      <c r="BZ33">
        <v>109</v>
      </c>
      <c r="CA33">
        <v>105</v>
      </c>
      <c r="CB33">
        <v>283</v>
      </c>
      <c r="CC33">
        <v>233</v>
      </c>
      <c r="CD33">
        <v>2998</v>
      </c>
      <c r="CE33">
        <v>3236</v>
      </c>
      <c r="CF33">
        <v>44</v>
      </c>
      <c r="CG33">
        <v>77</v>
      </c>
      <c r="CH33">
        <v>32050</v>
      </c>
      <c r="CI33">
        <v>12377</v>
      </c>
      <c r="CJ33">
        <v>125255</v>
      </c>
      <c r="CK33">
        <v>40393</v>
      </c>
      <c r="CL33">
        <v>3884</v>
      </c>
      <c r="CM33">
        <v>7689</v>
      </c>
      <c r="CN33">
        <v>9463</v>
      </c>
      <c r="CO33">
        <v>10705</v>
      </c>
      <c r="CP33">
        <v>6797</v>
      </c>
      <c r="CQ33">
        <v>5889</v>
      </c>
      <c r="CR33">
        <v>31076</v>
      </c>
      <c r="CS33">
        <v>67926</v>
      </c>
      <c r="CT33">
        <v>9911</v>
      </c>
      <c r="CU33">
        <v>3850</v>
      </c>
      <c r="CV33">
        <v>2396</v>
      </c>
      <c r="CW33">
        <v>5017</v>
      </c>
      <c r="CX33">
        <v>959</v>
      </c>
      <c r="CY33">
        <v>29525</v>
      </c>
      <c r="CZ33">
        <v>10293</v>
      </c>
      <c r="DA33">
        <v>509</v>
      </c>
      <c r="DB33">
        <v>3884</v>
      </c>
      <c r="DC33">
        <v>185</v>
      </c>
      <c r="DD33">
        <v>5777</v>
      </c>
      <c r="DE33">
        <v>6752</v>
      </c>
      <c r="DF33">
        <v>6411</v>
      </c>
      <c r="DG33">
        <v>31018</v>
      </c>
      <c r="DH33">
        <v>2741</v>
      </c>
      <c r="DI33">
        <v>0</v>
      </c>
      <c r="DJ33">
        <v>0</v>
      </c>
      <c r="DK33">
        <v>0</v>
      </c>
      <c r="DL33">
        <v>113479</v>
      </c>
      <c r="DM33">
        <v>241</v>
      </c>
      <c r="DN33">
        <v>40</v>
      </c>
      <c r="DO33">
        <v>18</v>
      </c>
      <c r="DP33">
        <v>30</v>
      </c>
      <c r="DQ33">
        <v>1</v>
      </c>
      <c r="DR33">
        <v>0</v>
      </c>
      <c r="DS33">
        <v>0</v>
      </c>
      <c r="DT33">
        <v>0</v>
      </c>
      <c r="DU33">
        <v>1</v>
      </c>
      <c r="DV33">
        <v>3130</v>
      </c>
      <c r="DW33">
        <v>4038</v>
      </c>
      <c r="DX33">
        <v>4987</v>
      </c>
      <c r="DY33">
        <v>6038</v>
      </c>
      <c r="DZ33">
        <v>2258</v>
      </c>
      <c r="EA33">
        <v>2108</v>
      </c>
      <c r="EB33">
        <v>1046</v>
      </c>
      <c r="EC33">
        <v>871</v>
      </c>
      <c r="ED33">
        <v>903</v>
      </c>
      <c r="EE33">
        <v>1056</v>
      </c>
      <c r="EF33">
        <v>1512</v>
      </c>
      <c r="EG33">
        <v>1843</v>
      </c>
      <c r="EH33">
        <v>906</v>
      </c>
      <c r="EI33">
        <v>859</v>
      </c>
      <c r="EJ33">
        <v>4505</v>
      </c>
      <c r="EK33">
        <v>6836</v>
      </c>
      <c r="EL33">
        <v>2721</v>
      </c>
      <c r="EM33">
        <v>1138</v>
      </c>
      <c r="EN33">
        <v>1199</v>
      </c>
      <c r="EO33">
        <v>2071</v>
      </c>
      <c r="EP33">
        <v>1043</v>
      </c>
      <c r="EQ33">
        <v>48706</v>
      </c>
      <c r="ER33">
        <v>47739</v>
      </c>
      <c r="ES33">
        <v>967</v>
      </c>
      <c r="ET33">
        <v>11718</v>
      </c>
      <c r="EU33">
        <v>35208</v>
      </c>
      <c r="EV33">
        <v>34788</v>
      </c>
      <c r="EW33">
        <v>420</v>
      </c>
      <c r="EX33">
        <v>32834</v>
      </c>
      <c r="EY33" s="26">
        <v>12.701874999999999</v>
      </c>
      <c r="EZ33" s="26">
        <v>19.694618999999999</v>
      </c>
      <c r="FA33" s="26">
        <v>26.314022999999999</v>
      </c>
      <c r="FB33" s="26">
        <v>40.998643999999999</v>
      </c>
      <c r="FC33" s="26">
        <v>0.29083999999999999</v>
      </c>
      <c r="FD33">
        <v>6250</v>
      </c>
      <c r="FE33">
        <v>27539</v>
      </c>
      <c r="FF33">
        <v>2490</v>
      </c>
      <c r="FG33">
        <v>16129</v>
      </c>
      <c r="FH33">
        <v>59</v>
      </c>
      <c r="FI33">
        <v>13613</v>
      </c>
      <c r="FJ33">
        <v>17774</v>
      </c>
      <c r="FK33" s="26" t="s">
        <v>359</v>
      </c>
      <c r="FL33" s="26" t="s">
        <v>359</v>
      </c>
      <c r="FM33" s="26" t="s">
        <v>359</v>
      </c>
      <c r="FN33" s="26" t="s">
        <v>359</v>
      </c>
      <c r="FO33" s="28">
        <v>45157</v>
      </c>
      <c r="FP33" s="28">
        <v>34208</v>
      </c>
      <c r="FQ33">
        <v>8078</v>
      </c>
      <c r="FR33">
        <v>5604</v>
      </c>
      <c r="FS33">
        <v>1019</v>
      </c>
      <c r="FT33">
        <v>942</v>
      </c>
      <c r="FU33">
        <v>27702</v>
      </c>
      <c r="FV33">
        <v>216</v>
      </c>
      <c r="FW33">
        <v>496</v>
      </c>
      <c r="FX33">
        <v>75</v>
      </c>
      <c r="FY33">
        <v>51293</v>
      </c>
      <c r="FZ33">
        <v>35373</v>
      </c>
      <c r="GA33">
        <v>8476</v>
      </c>
      <c r="GB33">
        <v>6982</v>
      </c>
      <c r="GC33">
        <v>1325</v>
      </c>
      <c r="GD33">
        <v>895</v>
      </c>
      <c r="GE33">
        <v>31595</v>
      </c>
      <c r="GF33">
        <v>236</v>
      </c>
      <c r="GG33">
        <v>587</v>
      </c>
      <c r="GH33">
        <v>72</v>
      </c>
      <c r="GI33">
        <v>4207</v>
      </c>
      <c r="GJ33">
        <v>5012</v>
      </c>
      <c r="GK33">
        <v>4864</v>
      </c>
      <c r="GL33">
        <v>4067</v>
      </c>
      <c r="GM33">
        <v>3295</v>
      </c>
      <c r="GN33">
        <v>3225</v>
      </c>
      <c r="GO33">
        <v>3418</v>
      </c>
      <c r="GP33">
        <v>3247</v>
      </c>
      <c r="GQ33">
        <v>2896</v>
      </c>
      <c r="GR33">
        <v>2396</v>
      </c>
      <c r="GS33">
        <v>1992</v>
      </c>
      <c r="GT33">
        <v>1783</v>
      </c>
      <c r="GU33">
        <v>1412</v>
      </c>
      <c r="GV33">
        <v>1173</v>
      </c>
      <c r="GW33">
        <v>803</v>
      </c>
      <c r="GX33">
        <v>614</v>
      </c>
      <c r="GY33">
        <v>394</v>
      </c>
      <c r="GZ33">
        <v>359</v>
      </c>
      <c r="HA33">
        <v>4215</v>
      </c>
      <c r="HB33">
        <v>4929</v>
      </c>
      <c r="HC33">
        <v>4658</v>
      </c>
      <c r="HD33">
        <v>4241</v>
      </c>
      <c r="HE33">
        <v>3905</v>
      </c>
      <c r="HF33">
        <v>4114</v>
      </c>
      <c r="HG33">
        <v>4252</v>
      </c>
      <c r="HH33">
        <v>4266</v>
      </c>
      <c r="HI33">
        <v>3576</v>
      </c>
      <c r="HJ33">
        <v>2965</v>
      </c>
      <c r="HK33">
        <v>2506</v>
      </c>
      <c r="HL33">
        <v>2135</v>
      </c>
      <c r="HM33">
        <v>1685</v>
      </c>
      <c r="HN33">
        <v>1255</v>
      </c>
      <c r="HO33">
        <v>995</v>
      </c>
      <c r="HP33">
        <v>714</v>
      </c>
      <c r="HQ33">
        <v>453</v>
      </c>
      <c r="HR33">
        <v>429</v>
      </c>
      <c r="HS33">
        <v>36207</v>
      </c>
      <c r="HT33">
        <v>261</v>
      </c>
      <c r="HU33">
        <v>874</v>
      </c>
      <c r="HV33">
        <v>2</v>
      </c>
      <c r="HW33">
        <v>81</v>
      </c>
      <c r="HX33">
        <v>0</v>
      </c>
      <c r="HY33">
        <v>2</v>
      </c>
      <c r="HZ33">
        <v>14</v>
      </c>
      <c r="IA33">
        <v>3861</v>
      </c>
      <c r="IB33">
        <v>7677</v>
      </c>
      <c r="IC33">
        <v>9448</v>
      </c>
      <c r="ID33">
        <v>10689</v>
      </c>
      <c r="IE33">
        <v>6786</v>
      </c>
      <c r="IF33">
        <v>3060</v>
      </c>
      <c r="IG33">
        <v>1398</v>
      </c>
      <c r="IH33">
        <v>719</v>
      </c>
      <c r="II33">
        <v>706</v>
      </c>
      <c r="IJ33">
        <v>2643</v>
      </c>
      <c r="IK33">
        <v>7250</v>
      </c>
      <c r="IL33">
        <v>12557</v>
      </c>
      <c r="IM33">
        <v>10800</v>
      </c>
      <c r="IN33">
        <v>6258</v>
      </c>
      <c r="IO33">
        <v>2767</v>
      </c>
      <c r="IP33">
        <v>1102</v>
      </c>
      <c r="IQ33">
        <v>523</v>
      </c>
      <c r="IR33">
        <v>418</v>
      </c>
      <c r="IS33">
        <v>14851</v>
      </c>
      <c r="IT33">
        <v>18669</v>
      </c>
      <c r="IU33">
        <v>8259</v>
      </c>
      <c r="IV33">
        <v>2028</v>
      </c>
      <c r="IW33">
        <v>510</v>
      </c>
      <c r="IX33">
        <v>21346</v>
      </c>
      <c r="IY33">
        <v>7978</v>
      </c>
      <c r="IZ33">
        <v>53</v>
      </c>
      <c r="JA33">
        <v>210</v>
      </c>
      <c r="JB33">
        <v>2016</v>
      </c>
      <c r="JC33">
        <v>1590</v>
      </c>
      <c r="JD33">
        <v>42425</v>
      </c>
      <c r="JE33">
        <v>1893</v>
      </c>
      <c r="JF33">
        <v>26</v>
      </c>
      <c r="JH33" s="28">
        <v>33352.064152647181</v>
      </c>
      <c r="JI33" s="28">
        <v>701.30150566341445</v>
      </c>
      <c r="JJ33">
        <v>2664</v>
      </c>
      <c r="JK33">
        <v>29459</v>
      </c>
      <c r="JL33">
        <v>12191</v>
      </c>
      <c r="JM33">
        <v>30</v>
      </c>
      <c r="JN33">
        <v>34622</v>
      </c>
      <c r="JO33">
        <v>26526</v>
      </c>
      <c r="JP33">
        <v>17102</v>
      </c>
      <c r="JQ33">
        <v>31623</v>
      </c>
      <c r="JR33">
        <v>39912</v>
      </c>
      <c r="JS33">
        <v>11035</v>
      </c>
      <c r="JT33">
        <v>7886</v>
      </c>
      <c r="JU33">
        <v>36790</v>
      </c>
      <c r="JV33">
        <v>14615</v>
      </c>
      <c r="JW33" s="28"/>
      <c r="JX33" s="28"/>
      <c r="JY33" s="28"/>
      <c r="JZ33" s="28"/>
      <c r="KA33" s="28">
        <v>44094.000057439996</v>
      </c>
      <c r="KB33">
        <v>138486</v>
      </c>
      <c r="KC33">
        <v>694</v>
      </c>
      <c r="KD33">
        <v>2330</v>
      </c>
      <c r="KE33">
        <v>6</v>
      </c>
      <c r="KF33">
        <v>248</v>
      </c>
      <c r="KG33">
        <v>0</v>
      </c>
      <c r="KH33">
        <v>4</v>
      </c>
      <c r="KI33">
        <v>47</v>
      </c>
      <c r="KJ33">
        <v>10716</v>
      </c>
      <c r="KK33">
        <v>112735</v>
      </c>
      <c r="KL33">
        <v>41839</v>
      </c>
      <c r="KM33">
        <v>106</v>
      </c>
      <c r="KT33">
        <v>23055</v>
      </c>
      <c r="KU33">
        <v>22963</v>
      </c>
      <c r="KV33">
        <v>17679</v>
      </c>
      <c r="KW33">
        <v>2903</v>
      </c>
      <c r="KX33">
        <v>1785</v>
      </c>
      <c r="KZ33">
        <v>17469</v>
      </c>
      <c r="LA33">
        <v>2931</v>
      </c>
      <c r="LB33">
        <v>1827</v>
      </c>
      <c r="LD33">
        <v>12702</v>
      </c>
      <c r="LE33">
        <v>12387</v>
      </c>
      <c r="LF33">
        <v>3782</v>
      </c>
      <c r="LG33">
        <v>7101</v>
      </c>
      <c r="LH33">
        <v>119571</v>
      </c>
      <c r="LI33">
        <v>81</v>
      </c>
      <c r="LJ33">
        <v>10758</v>
      </c>
      <c r="LK33">
        <v>1648</v>
      </c>
      <c r="LL33">
        <v>10846</v>
      </c>
      <c r="LM33">
        <v>45</v>
      </c>
      <c r="LN33">
        <v>7736</v>
      </c>
      <c r="LO33">
        <v>6889</v>
      </c>
      <c r="LP33">
        <v>124</v>
      </c>
      <c r="LQ33">
        <v>12931</v>
      </c>
      <c r="LR33">
        <v>1538</v>
      </c>
      <c r="LS33">
        <v>12063</v>
      </c>
      <c r="LT33">
        <v>49</v>
      </c>
      <c r="LU33">
        <v>7417</v>
      </c>
      <c r="LV33">
        <v>6673</v>
      </c>
      <c r="LW33" s="44"/>
      <c r="LX33" s="44"/>
      <c r="LY33" s="44"/>
      <c r="LZ33">
        <v>44344</v>
      </c>
      <c r="MA33">
        <v>165396</v>
      </c>
      <c r="MB33">
        <v>153448</v>
      </c>
      <c r="MC33">
        <v>5871</v>
      </c>
      <c r="MD33" s="26">
        <v>9.101704999999999</v>
      </c>
      <c r="ME33" s="26">
        <v>8.5793769999999991</v>
      </c>
      <c r="MF33" s="26">
        <v>44.305893999999995</v>
      </c>
      <c r="MG33" s="26">
        <v>41.871366999999999</v>
      </c>
      <c r="MH33" s="26">
        <v>6.0075769999999995</v>
      </c>
      <c r="MI33" s="26">
        <v>0.84115099999999998</v>
      </c>
      <c r="MJ33" s="26">
        <v>11.740031999999999</v>
      </c>
      <c r="MK33" s="26">
        <v>4.2688980000000001</v>
      </c>
      <c r="ML33" s="26">
        <v>0.563774</v>
      </c>
      <c r="MM33" s="26">
        <v>40.181309999999996</v>
      </c>
      <c r="MN33" s="26">
        <v>21.924047999999999</v>
      </c>
      <c r="MO33" s="26">
        <v>-0.28001899999999996</v>
      </c>
      <c r="MP33" t="s">
        <v>1027</v>
      </c>
      <c r="MQ33">
        <v>1292</v>
      </c>
      <c r="MR33">
        <v>114</v>
      </c>
    </row>
    <row r="34" spans="1:356">
      <c r="A34" t="s">
        <v>79</v>
      </c>
      <c r="B34" t="s">
        <v>80</v>
      </c>
      <c r="C34">
        <v>19298</v>
      </c>
      <c r="D34">
        <v>21050</v>
      </c>
      <c r="E34">
        <v>22192</v>
      </c>
      <c r="F34">
        <f t="shared" si="0"/>
        <v>1142</v>
      </c>
      <c r="G34" s="26">
        <f t="shared" si="1"/>
        <v>5.4251781472684115</v>
      </c>
      <c r="H34">
        <v>10846</v>
      </c>
      <c r="I34">
        <v>11346</v>
      </c>
      <c r="J34">
        <v>7125</v>
      </c>
      <c r="K34">
        <v>15067</v>
      </c>
      <c r="L34">
        <v>1151</v>
      </c>
      <c r="M34">
        <v>1155</v>
      </c>
      <c r="N34">
        <v>1146</v>
      </c>
      <c r="O34">
        <v>1037</v>
      </c>
      <c r="P34">
        <v>747</v>
      </c>
      <c r="Q34">
        <v>682</v>
      </c>
      <c r="R34">
        <v>665</v>
      </c>
      <c r="S34">
        <v>698</v>
      </c>
      <c r="T34">
        <v>672</v>
      </c>
      <c r="U34">
        <v>595</v>
      </c>
      <c r="V34">
        <v>500</v>
      </c>
      <c r="W34">
        <v>420</v>
      </c>
      <c r="X34">
        <v>374</v>
      </c>
      <c r="Y34">
        <v>1004</v>
      </c>
      <c r="Z34">
        <v>0</v>
      </c>
      <c r="AA34">
        <v>1053</v>
      </c>
      <c r="AB34">
        <v>1082</v>
      </c>
      <c r="AC34">
        <v>1089</v>
      </c>
      <c r="AD34">
        <v>1085</v>
      </c>
      <c r="AE34">
        <v>906</v>
      </c>
      <c r="AF34">
        <v>773</v>
      </c>
      <c r="AG34">
        <v>831</v>
      </c>
      <c r="AH34">
        <v>849</v>
      </c>
      <c r="AI34">
        <v>772</v>
      </c>
      <c r="AJ34">
        <v>643</v>
      </c>
      <c r="AK34">
        <v>513</v>
      </c>
      <c r="AL34">
        <v>444</v>
      </c>
      <c r="AM34">
        <v>381</v>
      </c>
      <c r="AN34">
        <v>925</v>
      </c>
      <c r="AO34">
        <v>0</v>
      </c>
      <c r="AP34">
        <v>21883</v>
      </c>
      <c r="AQ34">
        <v>260</v>
      </c>
      <c r="AR34">
        <v>32</v>
      </c>
      <c r="AS34">
        <v>9</v>
      </c>
      <c r="AT34">
        <v>8</v>
      </c>
      <c r="AU34">
        <v>1975</v>
      </c>
      <c r="AV34">
        <v>1025</v>
      </c>
      <c r="AW34">
        <v>950</v>
      </c>
      <c r="AX34">
        <v>1770</v>
      </c>
      <c r="AY34">
        <v>1681</v>
      </c>
      <c r="AZ34">
        <v>1345</v>
      </c>
      <c r="BA34">
        <v>336</v>
      </c>
      <c r="BB34">
        <v>23</v>
      </c>
      <c r="BC34">
        <v>26</v>
      </c>
      <c r="BD34">
        <v>66</v>
      </c>
      <c r="BE34">
        <v>59</v>
      </c>
      <c r="BF34">
        <v>77</v>
      </c>
      <c r="BG34">
        <v>76</v>
      </c>
      <c r="BH34">
        <v>68</v>
      </c>
      <c r="BI34">
        <v>68</v>
      </c>
      <c r="BJ34">
        <v>48</v>
      </c>
      <c r="BK34">
        <v>77</v>
      </c>
      <c r="BL34">
        <v>69</v>
      </c>
      <c r="BM34">
        <v>67</v>
      </c>
      <c r="BN34">
        <v>60</v>
      </c>
      <c r="BO34">
        <v>75</v>
      </c>
      <c r="BP34">
        <v>59</v>
      </c>
      <c r="BQ34">
        <v>66</v>
      </c>
      <c r="BR34">
        <v>63</v>
      </c>
      <c r="BS34">
        <v>65</v>
      </c>
      <c r="BT34">
        <v>57</v>
      </c>
      <c r="BU34">
        <v>61</v>
      </c>
      <c r="BV34">
        <v>73</v>
      </c>
      <c r="BW34">
        <v>57</v>
      </c>
      <c r="BX34">
        <v>65</v>
      </c>
      <c r="BY34">
        <v>60</v>
      </c>
      <c r="BZ34">
        <v>59</v>
      </c>
      <c r="CA34">
        <v>39</v>
      </c>
      <c r="CB34">
        <v>238</v>
      </c>
      <c r="CC34">
        <v>154</v>
      </c>
      <c r="CD34">
        <v>1013</v>
      </c>
      <c r="CE34">
        <v>942</v>
      </c>
      <c r="CF34">
        <v>7</v>
      </c>
      <c r="CG34">
        <v>5</v>
      </c>
      <c r="CH34">
        <v>4422</v>
      </c>
      <c r="CI34">
        <v>1633</v>
      </c>
      <c r="CJ34">
        <v>17039</v>
      </c>
      <c r="CK34">
        <v>5103</v>
      </c>
      <c r="CL34">
        <v>668</v>
      </c>
      <c r="CM34">
        <v>1096</v>
      </c>
      <c r="CN34">
        <v>1250</v>
      </c>
      <c r="CO34">
        <v>1346</v>
      </c>
      <c r="CP34">
        <v>838</v>
      </c>
      <c r="CQ34">
        <v>857</v>
      </c>
      <c r="CR34">
        <v>4199</v>
      </c>
      <c r="CS34">
        <v>9518</v>
      </c>
      <c r="CT34">
        <v>1394</v>
      </c>
      <c r="CU34">
        <v>337</v>
      </c>
      <c r="CV34">
        <v>169</v>
      </c>
      <c r="CW34">
        <v>398</v>
      </c>
      <c r="CX34">
        <v>72</v>
      </c>
      <c r="CY34">
        <v>4097</v>
      </c>
      <c r="CZ34">
        <v>1249</v>
      </c>
      <c r="DA34">
        <v>32</v>
      </c>
      <c r="DB34">
        <v>668</v>
      </c>
      <c r="DC34">
        <v>9</v>
      </c>
      <c r="DD34">
        <v>1700</v>
      </c>
      <c r="DE34">
        <v>2795</v>
      </c>
      <c r="DF34">
        <v>3588</v>
      </c>
      <c r="DG34">
        <v>6984</v>
      </c>
      <c r="DH34">
        <v>0</v>
      </c>
      <c r="DI34">
        <v>7125</v>
      </c>
      <c r="DJ34">
        <v>0</v>
      </c>
      <c r="DK34">
        <v>0</v>
      </c>
      <c r="DL34">
        <v>0</v>
      </c>
      <c r="DM34">
        <v>77</v>
      </c>
      <c r="DN34">
        <v>18</v>
      </c>
      <c r="DO34">
        <v>10</v>
      </c>
      <c r="DP34">
        <v>8</v>
      </c>
      <c r="DQ34">
        <v>0</v>
      </c>
      <c r="DR34">
        <v>1</v>
      </c>
      <c r="DS34">
        <v>0</v>
      </c>
      <c r="DT34">
        <v>0</v>
      </c>
      <c r="DU34">
        <v>0</v>
      </c>
      <c r="DV34">
        <v>667</v>
      </c>
      <c r="DW34">
        <v>741</v>
      </c>
      <c r="DX34">
        <v>977</v>
      </c>
      <c r="DY34">
        <v>1053</v>
      </c>
      <c r="DZ34">
        <v>473</v>
      </c>
      <c r="EA34">
        <v>336</v>
      </c>
      <c r="EB34">
        <v>217</v>
      </c>
      <c r="EC34">
        <v>143</v>
      </c>
      <c r="ED34">
        <v>138</v>
      </c>
      <c r="EE34">
        <v>135</v>
      </c>
      <c r="EF34">
        <v>321</v>
      </c>
      <c r="EG34">
        <v>371</v>
      </c>
      <c r="EH34">
        <v>125</v>
      </c>
      <c r="EI34">
        <v>102</v>
      </c>
      <c r="EJ34">
        <v>936</v>
      </c>
      <c r="EK34">
        <v>1351</v>
      </c>
      <c r="EL34">
        <v>529</v>
      </c>
      <c r="EM34">
        <v>236</v>
      </c>
      <c r="EN34">
        <v>171</v>
      </c>
      <c r="EO34">
        <v>449</v>
      </c>
      <c r="EP34">
        <v>154</v>
      </c>
      <c r="EQ34">
        <v>6151</v>
      </c>
      <c r="ER34">
        <v>6079</v>
      </c>
      <c r="ES34">
        <v>72</v>
      </c>
      <c r="ET34">
        <v>1882</v>
      </c>
      <c r="EU34">
        <v>3489</v>
      </c>
      <c r="EV34">
        <v>3470</v>
      </c>
      <c r="EW34">
        <v>19</v>
      </c>
      <c r="EX34">
        <v>5235</v>
      </c>
      <c r="EY34" s="26">
        <v>45.341061000000003</v>
      </c>
      <c r="EZ34" s="26">
        <v>15.381186</v>
      </c>
      <c r="FA34" s="26">
        <v>11.47273</v>
      </c>
      <c r="FB34" s="26">
        <v>27.329469</v>
      </c>
      <c r="FC34" s="26">
        <v>0.47555399999999998</v>
      </c>
      <c r="FD34">
        <v>803</v>
      </c>
      <c r="FE34">
        <v>3185</v>
      </c>
      <c r="FF34">
        <v>284</v>
      </c>
      <c r="FG34">
        <v>2219</v>
      </c>
      <c r="FH34">
        <v>3</v>
      </c>
      <c r="FI34">
        <v>1707</v>
      </c>
      <c r="FJ34">
        <v>1424</v>
      </c>
      <c r="FK34" s="26" t="s">
        <v>359</v>
      </c>
      <c r="FL34" s="26" t="s">
        <v>359</v>
      </c>
      <c r="FM34" s="26" t="s">
        <v>359</v>
      </c>
      <c r="FN34" s="26" t="s">
        <v>359</v>
      </c>
      <c r="FO34" s="28">
        <v>7141</v>
      </c>
      <c r="FP34" s="28">
        <v>3703</v>
      </c>
      <c r="FQ34">
        <v>529</v>
      </c>
      <c r="FR34">
        <v>530</v>
      </c>
      <c r="FS34">
        <v>158</v>
      </c>
      <c r="FT34">
        <v>30</v>
      </c>
      <c r="FU34">
        <v>5853</v>
      </c>
      <c r="FV34">
        <v>42</v>
      </c>
      <c r="FW34">
        <v>21</v>
      </c>
      <c r="FX34">
        <v>2</v>
      </c>
      <c r="FY34">
        <v>7913</v>
      </c>
      <c r="FZ34">
        <v>3428</v>
      </c>
      <c r="GA34">
        <v>512</v>
      </c>
      <c r="GB34">
        <v>564</v>
      </c>
      <c r="GC34">
        <v>193</v>
      </c>
      <c r="GD34">
        <v>32</v>
      </c>
      <c r="GE34">
        <v>6581</v>
      </c>
      <c r="GF34">
        <v>34</v>
      </c>
      <c r="GG34">
        <v>26</v>
      </c>
      <c r="GH34">
        <v>5</v>
      </c>
      <c r="GI34">
        <v>687</v>
      </c>
      <c r="GJ34">
        <v>864</v>
      </c>
      <c r="GK34">
        <v>873</v>
      </c>
      <c r="GL34">
        <v>704</v>
      </c>
      <c r="GM34">
        <v>421</v>
      </c>
      <c r="GN34">
        <v>387</v>
      </c>
      <c r="GO34">
        <v>427</v>
      </c>
      <c r="GP34">
        <v>466</v>
      </c>
      <c r="GQ34">
        <v>452</v>
      </c>
      <c r="GR34">
        <v>383</v>
      </c>
      <c r="GS34">
        <v>320</v>
      </c>
      <c r="GT34">
        <v>258</v>
      </c>
      <c r="GU34">
        <v>242</v>
      </c>
      <c r="GV34">
        <v>219</v>
      </c>
      <c r="GW34">
        <v>159</v>
      </c>
      <c r="GX34">
        <v>121</v>
      </c>
      <c r="GY34">
        <v>72</v>
      </c>
      <c r="GZ34">
        <v>86</v>
      </c>
      <c r="HA34">
        <v>598</v>
      </c>
      <c r="HB34">
        <v>775</v>
      </c>
      <c r="HC34">
        <v>813</v>
      </c>
      <c r="HD34">
        <v>772</v>
      </c>
      <c r="HE34">
        <v>590</v>
      </c>
      <c r="HF34">
        <v>523</v>
      </c>
      <c r="HG34">
        <v>620</v>
      </c>
      <c r="HH34">
        <v>622</v>
      </c>
      <c r="HI34">
        <v>569</v>
      </c>
      <c r="HJ34">
        <v>482</v>
      </c>
      <c r="HK34">
        <v>355</v>
      </c>
      <c r="HL34">
        <v>302</v>
      </c>
      <c r="HM34">
        <v>262</v>
      </c>
      <c r="HN34">
        <v>224</v>
      </c>
      <c r="HO34">
        <v>120</v>
      </c>
      <c r="HP34">
        <v>122</v>
      </c>
      <c r="HQ34">
        <v>84</v>
      </c>
      <c r="HR34">
        <v>80</v>
      </c>
      <c r="HS34">
        <v>5011</v>
      </c>
      <c r="HT34">
        <v>1</v>
      </c>
      <c r="HU34">
        <v>16</v>
      </c>
      <c r="HV34">
        <v>0</v>
      </c>
      <c r="HW34">
        <v>9</v>
      </c>
      <c r="HX34">
        <v>0</v>
      </c>
      <c r="HY34">
        <v>1</v>
      </c>
      <c r="HZ34">
        <v>0</v>
      </c>
      <c r="IA34">
        <v>668</v>
      </c>
      <c r="IB34">
        <v>1091</v>
      </c>
      <c r="IC34">
        <v>1249</v>
      </c>
      <c r="ID34">
        <v>1343</v>
      </c>
      <c r="IE34">
        <v>837</v>
      </c>
      <c r="IF34">
        <v>433</v>
      </c>
      <c r="IG34">
        <v>221</v>
      </c>
      <c r="IH34">
        <v>110</v>
      </c>
      <c r="II34">
        <v>93</v>
      </c>
      <c r="IJ34">
        <v>850</v>
      </c>
      <c r="IK34">
        <v>1724</v>
      </c>
      <c r="IL34">
        <v>1673</v>
      </c>
      <c r="IM34">
        <v>1181</v>
      </c>
      <c r="IN34">
        <v>409</v>
      </c>
      <c r="IO34">
        <v>132</v>
      </c>
      <c r="IP34">
        <v>46</v>
      </c>
      <c r="IQ34">
        <v>20</v>
      </c>
      <c r="IR34">
        <v>10</v>
      </c>
      <c r="IS34">
        <v>3309</v>
      </c>
      <c r="IT34">
        <v>2069</v>
      </c>
      <c r="IU34">
        <v>543</v>
      </c>
      <c r="IV34">
        <v>100</v>
      </c>
      <c r="IW34">
        <v>24</v>
      </c>
      <c r="IX34">
        <v>3155</v>
      </c>
      <c r="IY34">
        <v>2080</v>
      </c>
      <c r="IZ34">
        <v>2</v>
      </c>
      <c r="JA34">
        <v>21</v>
      </c>
      <c r="JB34">
        <v>7</v>
      </c>
      <c r="JC34">
        <v>93</v>
      </c>
      <c r="JD34">
        <v>5791</v>
      </c>
      <c r="JE34">
        <v>252</v>
      </c>
      <c r="JF34">
        <v>2</v>
      </c>
      <c r="JH34" s="28">
        <v>4745.7327234896302</v>
      </c>
      <c r="JI34" s="28">
        <v>464.94760040543429</v>
      </c>
      <c r="JJ34">
        <v>617</v>
      </c>
      <c r="JK34">
        <v>4621</v>
      </c>
      <c r="JL34">
        <v>807</v>
      </c>
      <c r="JM34">
        <v>0</v>
      </c>
      <c r="JN34">
        <v>4123</v>
      </c>
      <c r="JO34">
        <v>2292</v>
      </c>
      <c r="JP34">
        <v>797</v>
      </c>
      <c r="JQ34">
        <v>2917</v>
      </c>
      <c r="JR34">
        <v>4412</v>
      </c>
      <c r="JS34">
        <v>682</v>
      </c>
      <c r="JT34">
        <v>312</v>
      </c>
      <c r="JU34">
        <v>3762</v>
      </c>
      <c r="JV34">
        <v>701</v>
      </c>
      <c r="JW34" s="28"/>
      <c r="JX34" s="28"/>
      <c r="JY34" s="28"/>
      <c r="JZ34" s="28"/>
      <c r="KA34" s="28">
        <v>5924.9999796000002</v>
      </c>
      <c r="KB34">
        <v>18547</v>
      </c>
      <c r="KC34">
        <v>1</v>
      </c>
      <c r="KD34">
        <v>42</v>
      </c>
      <c r="KE34">
        <v>0</v>
      </c>
      <c r="KF34">
        <v>28</v>
      </c>
      <c r="KG34">
        <v>0</v>
      </c>
      <c r="KH34">
        <v>2</v>
      </c>
      <c r="KI34">
        <v>0</v>
      </c>
      <c r="KJ34">
        <v>2368</v>
      </c>
      <c r="KK34">
        <v>16892</v>
      </c>
      <c r="KL34">
        <v>2852</v>
      </c>
      <c r="KM34">
        <v>0</v>
      </c>
      <c r="KT34">
        <v>3302</v>
      </c>
      <c r="KU34">
        <v>3277</v>
      </c>
      <c r="KV34">
        <v>2590</v>
      </c>
      <c r="KW34">
        <v>380</v>
      </c>
      <c r="KX34">
        <v>180</v>
      </c>
      <c r="KZ34">
        <v>2503</v>
      </c>
      <c r="LA34">
        <v>449</v>
      </c>
      <c r="LB34">
        <v>207</v>
      </c>
      <c r="LD34">
        <v>1789</v>
      </c>
      <c r="LE34">
        <v>1740</v>
      </c>
      <c r="LF34">
        <v>699</v>
      </c>
      <c r="LG34">
        <v>960</v>
      </c>
      <c r="LH34">
        <v>15516</v>
      </c>
      <c r="LI34">
        <v>23</v>
      </c>
      <c r="LJ34">
        <v>1116</v>
      </c>
      <c r="LK34">
        <v>204</v>
      </c>
      <c r="LL34">
        <v>1641</v>
      </c>
      <c r="LM34">
        <v>1</v>
      </c>
      <c r="LN34">
        <v>1053</v>
      </c>
      <c r="LO34">
        <v>615</v>
      </c>
      <c r="LP34">
        <v>24</v>
      </c>
      <c r="LQ34">
        <v>1156</v>
      </c>
      <c r="LR34">
        <v>160</v>
      </c>
      <c r="LS34">
        <v>2012</v>
      </c>
      <c r="LT34">
        <v>6</v>
      </c>
      <c r="LU34">
        <v>1148</v>
      </c>
      <c r="LV34">
        <v>582</v>
      </c>
      <c r="LW34" s="44"/>
      <c r="LX34" s="44"/>
      <c r="LY34" s="44"/>
      <c r="LZ34">
        <v>6045</v>
      </c>
      <c r="MA34">
        <v>22112</v>
      </c>
      <c r="MB34">
        <v>21800</v>
      </c>
      <c r="MC34">
        <v>1716</v>
      </c>
      <c r="MD34" s="26">
        <v>10.692188999999999</v>
      </c>
      <c r="ME34" s="26">
        <v>6.3480210000000001</v>
      </c>
      <c r="MF34" s="26">
        <v>44.328434999999999</v>
      </c>
      <c r="MG34" s="26">
        <v>32.133201</v>
      </c>
      <c r="MH34" s="26">
        <v>10.206781999999999</v>
      </c>
      <c r="MI34" s="26">
        <v>3.490488</v>
      </c>
      <c r="MJ34" s="26">
        <v>3.490488</v>
      </c>
      <c r="MK34" s="26">
        <v>4.1687339999999997</v>
      </c>
      <c r="ML34" s="26">
        <v>1.985112</v>
      </c>
      <c r="MM34" s="26">
        <v>62.084367</v>
      </c>
      <c r="MN34" s="26">
        <v>31.794871999999998</v>
      </c>
      <c r="MO34" s="26">
        <v>8.0833000000000002E-2</v>
      </c>
      <c r="MP34" t="s">
        <v>1027</v>
      </c>
      <c r="MQ34">
        <v>947</v>
      </c>
      <c r="MR34">
        <v>86</v>
      </c>
    </row>
    <row r="35" spans="1:356">
      <c r="A35" t="s">
        <v>65</v>
      </c>
      <c r="B35" t="s">
        <v>66</v>
      </c>
      <c r="C35">
        <v>14993</v>
      </c>
      <c r="D35">
        <v>18559</v>
      </c>
      <c r="E35">
        <v>24273</v>
      </c>
      <c r="F35">
        <f t="shared" ref="F35:F66" si="2">E35-D35</f>
        <v>5714</v>
      </c>
      <c r="G35" s="26">
        <f t="shared" ref="G35:G66" si="3">E35/D35*100-100</f>
        <v>30.788296783231857</v>
      </c>
      <c r="H35">
        <v>11711</v>
      </c>
      <c r="I35">
        <v>12562</v>
      </c>
      <c r="J35">
        <v>11630</v>
      </c>
      <c r="K35">
        <v>12643</v>
      </c>
      <c r="L35">
        <v>1566</v>
      </c>
      <c r="M35">
        <v>1584</v>
      </c>
      <c r="N35">
        <v>1558</v>
      </c>
      <c r="O35">
        <v>1192</v>
      </c>
      <c r="P35">
        <v>1023</v>
      </c>
      <c r="Q35">
        <v>852</v>
      </c>
      <c r="R35">
        <v>807</v>
      </c>
      <c r="S35">
        <v>756</v>
      </c>
      <c r="T35">
        <v>575</v>
      </c>
      <c r="U35">
        <v>483</v>
      </c>
      <c r="V35">
        <v>379</v>
      </c>
      <c r="W35">
        <v>292</v>
      </c>
      <c r="X35">
        <v>184</v>
      </c>
      <c r="Y35">
        <v>460</v>
      </c>
      <c r="Z35">
        <v>0</v>
      </c>
      <c r="AA35">
        <v>1643</v>
      </c>
      <c r="AB35">
        <v>1618</v>
      </c>
      <c r="AC35">
        <v>1483</v>
      </c>
      <c r="AD35">
        <v>1292</v>
      </c>
      <c r="AE35">
        <v>1167</v>
      </c>
      <c r="AF35">
        <v>1051</v>
      </c>
      <c r="AG35">
        <v>984</v>
      </c>
      <c r="AH35">
        <v>866</v>
      </c>
      <c r="AI35">
        <v>601</v>
      </c>
      <c r="AJ35">
        <v>519</v>
      </c>
      <c r="AK35">
        <v>374</v>
      </c>
      <c r="AL35">
        <v>272</v>
      </c>
      <c r="AM35">
        <v>220</v>
      </c>
      <c r="AN35">
        <v>472</v>
      </c>
      <c r="AO35">
        <v>0</v>
      </c>
      <c r="AP35">
        <v>24238</v>
      </c>
      <c r="AQ35">
        <v>30</v>
      </c>
      <c r="AR35">
        <v>0</v>
      </c>
      <c r="AS35">
        <v>3</v>
      </c>
      <c r="AT35">
        <v>2</v>
      </c>
      <c r="AU35">
        <v>21106</v>
      </c>
      <c r="AV35">
        <v>10175</v>
      </c>
      <c r="AW35">
        <v>10931</v>
      </c>
      <c r="AX35">
        <v>9564</v>
      </c>
      <c r="AY35">
        <v>15864</v>
      </c>
      <c r="AZ35">
        <v>11717</v>
      </c>
      <c r="BA35">
        <v>4147</v>
      </c>
      <c r="BB35">
        <v>551</v>
      </c>
      <c r="BC35">
        <v>644</v>
      </c>
      <c r="BD35">
        <v>1477</v>
      </c>
      <c r="BE35">
        <v>1505</v>
      </c>
      <c r="BF35">
        <v>1467</v>
      </c>
      <c r="BG35">
        <v>1412</v>
      </c>
      <c r="BH35">
        <v>1143</v>
      </c>
      <c r="BI35">
        <v>1227</v>
      </c>
      <c r="BJ35">
        <v>973</v>
      </c>
      <c r="BK35">
        <v>1103</v>
      </c>
      <c r="BL35">
        <v>810</v>
      </c>
      <c r="BM35">
        <v>994</v>
      </c>
      <c r="BN35">
        <v>772</v>
      </c>
      <c r="BO35">
        <v>922</v>
      </c>
      <c r="BP35">
        <v>726</v>
      </c>
      <c r="BQ35">
        <v>809</v>
      </c>
      <c r="BR35">
        <v>544</v>
      </c>
      <c r="BS35">
        <v>559</v>
      </c>
      <c r="BT35">
        <v>460</v>
      </c>
      <c r="BU35">
        <v>488</v>
      </c>
      <c r="BV35">
        <v>358</v>
      </c>
      <c r="BW35">
        <v>353</v>
      </c>
      <c r="BX35">
        <v>281</v>
      </c>
      <c r="BY35">
        <v>259</v>
      </c>
      <c r="BZ35">
        <v>176</v>
      </c>
      <c r="CA35">
        <v>208</v>
      </c>
      <c r="CB35">
        <v>437</v>
      </c>
      <c r="CC35">
        <v>448</v>
      </c>
      <c r="CD35">
        <v>8101</v>
      </c>
      <c r="CE35">
        <v>7531</v>
      </c>
      <c r="CF35">
        <v>1963</v>
      </c>
      <c r="CG35">
        <v>3247</v>
      </c>
      <c r="CH35">
        <v>4119</v>
      </c>
      <c r="CI35">
        <v>930</v>
      </c>
      <c r="CJ35">
        <v>20515</v>
      </c>
      <c r="CK35">
        <v>3724</v>
      </c>
      <c r="CL35">
        <v>224</v>
      </c>
      <c r="CM35">
        <v>555</v>
      </c>
      <c r="CN35">
        <v>793</v>
      </c>
      <c r="CO35">
        <v>948</v>
      </c>
      <c r="CP35">
        <v>857</v>
      </c>
      <c r="CQ35">
        <v>1672</v>
      </c>
      <c r="CR35">
        <v>4139</v>
      </c>
      <c r="CS35">
        <v>12728</v>
      </c>
      <c r="CT35">
        <v>1192</v>
      </c>
      <c r="CU35">
        <v>646</v>
      </c>
      <c r="CV35">
        <v>186</v>
      </c>
      <c r="CW35">
        <v>288</v>
      </c>
      <c r="CX35">
        <v>10</v>
      </c>
      <c r="CY35">
        <v>3741</v>
      </c>
      <c r="CZ35">
        <v>1079</v>
      </c>
      <c r="DA35">
        <v>4</v>
      </c>
      <c r="DB35">
        <v>224</v>
      </c>
      <c r="DC35">
        <v>0</v>
      </c>
      <c r="DD35">
        <v>1033</v>
      </c>
      <c r="DE35">
        <v>1142</v>
      </c>
      <c r="DF35">
        <v>3015</v>
      </c>
      <c r="DG35">
        <v>7453</v>
      </c>
      <c r="DH35">
        <v>5797</v>
      </c>
      <c r="DI35">
        <v>5833</v>
      </c>
      <c r="DJ35">
        <v>0</v>
      </c>
      <c r="DK35">
        <v>0</v>
      </c>
      <c r="DL35">
        <v>0</v>
      </c>
      <c r="DM35">
        <v>34</v>
      </c>
      <c r="DN35">
        <v>7</v>
      </c>
      <c r="DO35">
        <v>8</v>
      </c>
      <c r="DP35">
        <v>8</v>
      </c>
      <c r="DQ35">
        <v>2</v>
      </c>
      <c r="DR35">
        <v>1</v>
      </c>
      <c r="DS35">
        <v>0</v>
      </c>
      <c r="DT35">
        <v>0</v>
      </c>
      <c r="DU35">
        <v>0</v>
      </c>
      <c r="DV35">
        <v>315</v>
      </c>
      <c r="DW35">
        <v>338</v>
      </c>
      <c r="DX35">
        <v>414</v>
      </c>
      <c r="DY35">
        <v>470</v>
      </c>
      <c r="DZ35">
        <v>253</v>
      </c>
      <c r="EA35">
        <v>238</v>
      </c>
      <c r="EB35">
        <v>127</v>
      </c>
      <c r="EC35">
        <v>111</v>
      </c>
      <c r="ED35">
        <v>116</v>
      </c>
      <c r="EE35">
        <v>124</v>
      </c>
      <c r="EF35">
        <v>140</v>
      </c>
      <c r="EG35">
        <v>166</v>
      </c>
      <c r="EH35">
        <v>49</v>
      </c>
      <c r="EI35">
        <v>47</v>
      </c>
      <c r="EJ35">
        <v>538</v>
      </c>
      <c r="EK35">
        <v>776</v>
      </c>
      <c r="EL35">
        <v>423</v>
      </c>
      <c r="EM35">
        <v>196</v>
      </c>
      <c r="EN35">
        <v>198</v>
      </c>
      <c r="EO35">
        <v>250</v>
      </c>
      <c r="EP35">
        <v>85</v>
      </c>
      <c r="EQ35">
        <v>5559</v>
      </c>
      <c r="ER35">
        <v>5260</v>
      </c>
      <c r="ES35">
        <v>299</v>
      </c>
      <c r="ET35">
        <v>2299</v>
      </c>
      <c r="EU35">
        <v>646</v>
      </c>
      <c r="EV35">
        <v>601</v>
      </c>
      <c r="EW35">
        <v>45</v>
      </c>
      <c r="EX35">
        <v>8027</v>
      </c>
      <c r="EY35" s="26">
        <v>80.259784999999994</v>
      </c>
      <c r="EZ35" s="26">
        <v>6.3749789999999997</v>
      </c>
      <c r="FA35" s="26">
        <v>4.5291399999999999</v>
      </c>
      <c r="FB35" s="26">
        <v>8.42591</v>
      </c>
      <c r="FC35" s="26">
        <v>0.410186</v>
      </c>
      <c r="FD35">
        <v>864</v>
      </c>
      <c r="FE35">
        <v>2819</v>
      </c>
      <c r="FF35">
        <v>213</v>
      </c>
      <c r="FG35">
        <v>1375</v>
      </c>
      <c r="FH35">
        <v>1</v>
      </c>
      <c r="FI35">
        <v>684</v>
      </c>
      <c r="FJ35">
        <v>245</v>
      </c>
      <c r="FK35" s="26" t="s">
        <v>359</v>
      </c>
      <c r="FL35" s="26" t="s">
        <v>359</v>
      </c>
      <c r="FM35" s="26" t="s">
        <v>359</v>
      </c>
      <c r="FN35" s="26" t="s">
        <v>359</v>
      </c>
      <c r="FO35" s="28">
        <v>9826</v>
      </c>
      <c r="FP35" s="28">
        <v>1882</v>
      </c>
      <c r="FQ35">
        <v>599</v>
      </c>
      <c r="FR35">
        <v>69</v>
      </c>
      <c r="FS35">
        <v>10</v>
      </c>
      <c r="FT35">
        <v>7</v>
      </c>
      <c r="FU35">
        <v>8000</v>
      </c>
      <c r="FV35">
        <v>76</v>
      </c>
      <c r="FW35">
        <v>45</v>
      </c>
      <c r="FX35">
        <v>3</v>
      </c>
      <c r="FY35">
        <v>10790</v>
      </c>
      <c r="FZ35">
        <v>1767</v>
      </c>
      <c r="GA35">
        <v>716</v>
      </c>
      <c r="GB35">
        <v>69</v>
      </c>
      <c r="GC35">
        <v>18</v>
      </c>
      <c r="GD35">
        <v>3</v>
      </c>
      <c r="GE35">
        <v>8746</v>
      </c>
      <c r="GF35">
        <v>74</v>
      </c>
      <c r="GG35">
        <v>51</v>
      </c>
      <c r="GH35">
        <v>5</v>
      </c>
      <c r="GI35">
        <v>1132</v>
      </c>
      <c r="GJ35">
        <v>1384</v>
      </c>
      <c r="GK35">
        <v>1370</v>
      </c>
      <c r="GL35">
        <v>992</v>
      </c>
      <c r="GM35">
        <v>832</v>
      </c>
      <c r="GN35">
        <v>719</v>
      </c>
      <c r="GO35">
        <v>683</v>
      </c>
      <c r="GP35">
        <v>655</v>
      </c>
      <c r="GQ35">
        <v>495</v>
      </c>
      <c r="GR35">
        <v>419</v>
      </c>
      <c r="GS35">
        <v>332</v>
      </c>
      <c r="GT35">
        <v>259</v>
      </c>
      <c r="GU35">
        <v>157</v>
      </c>
      <c r="GV35">
        <v>155</v>
      </c>
      <c r="GW35">
        <v>102</v>
      </c>
      <c r="GX35">
        <v>62</v>
      </c>
      <c r="GY35">
        <v>37</v>
      </c>
      <c r="GZ35">
        <v>41</v>
      </c>
      <c r="HA35">
        <v>1246</v>
      </c>
      <c r="HB35">
        <v>1399</v>
      </c>
      <c r="HC35">
        <v>1297</v>
      </c>
      <c r="HD35">
        <v>1070</v>
      </c>
      <c r="HE35">
        <v>976</v>
      </c>
      <c r="HF35">
        <v>934</v>
      </c>
      <c r="HG35">
        <v>900</v>
      </c>
      <c r="HH35">
        <v>759</v>
      </c>
      <c r="HI35">
        <v>544</v>
      </c>
      <c r="HJ35">
        <v>470</v>
      </c>
      <c r="HK35">
        <v>333</v>
      </c>
      <c r="HL35">
        <v>251</v>
      </c>
      <c r="HM35">
        <v>190</v>
      </c>
      <c r="HN35">
        <v>169</v>
      </c>
      <c r="HO35">
        <v>109</v>
      </c>
      <c r="HP35">
        <v>57</v>
      </c>
      <c r="HQ35">
        <v>48</v>
      </c>
      <c r="HR35">
        <v>38</v>
      </c>
      <c r="HS35">
        <v>4553</v>
      </c>
      <c r="HT35">
        <v>3</v>
      </c>
      <c r="HU35">
        <v>1</v>
      </c>
      <c r="HV35">
        <v>0</v>
      </c>
      <c r="HW35">
        <v>3</v>
      </c>
      <c r="HX35">
        <v>0</v>
      </c>
      <c r="HY35">
        <v>0</v>
      </c>
      <c r="HZ35">
        <v>1</v>
      </c>
      <c r="IA35">
        <v>222</v>
      </c>
      <c r="IB35">
        <v>555</v>
      </c>
      <c r="IC35">
        <v>793</v>
      </c>
      <c r="ID35">
        <v>947</v>
      </c>
      <c r="IE35">
        <v>857</v>
      </c>
      <c r="IF35">
        <v>658</v>
      </c>
      <c r="IG35">
        <v>405</v>
      </c>
      <c r="IH35">
        <v>275</v>
      </c>
      <c r="II35">
        <v>334</v>
      </c>
      <c r="IJ35">
        <v>478</v>
      </c>
      <c r="IK35">
        <v>1545</v>
      </c>
      <c r="IL35">
        <v>1356</v>
      </c>
      <c r="IM35">
        <v>872</v>
      </c>
      <c r="IN35">
        <v>519</v>
      </c>
      <c r="IO35">
        <v>212</v>
      </c>
      <c r="IP35">
        <v>41</v>
      </c>
      <c r="IQ35">
        <v>11</v>
      </c>
      <c r="IR35">
        <v>11</v>
      </c>
      <c r="IS35">
        <v>2085</v>
      </c>
      <c r="IT35">
        <v>1773</v>
      </c>
      <c r="IU35">
        <v>692</v>
      </c>
      <c r="IV35">
        <v>409</v>
      </c>
      <c r="IW35">
        <v>86</v>
      </c>
      <c r="IX35">
        <v>1231</v>
      </c>
      <c r="IY35">
        <v>1423</v>
      </c>
      <c r="IZ35">
        <v>0</v>
      </c>
      <c r="JA35">
        <v>8</v>
      </c>
      <c r="JB35">
        <v>0</v>
      </c>
      <c r="JC35">
        <v>811</v>
      </c>
      <c r="JD35">
        <v>4803</v>
      </c>
      <c r="JE35">
        <v>241</v>
      </c>
      <c r="JF35">
        <v>2</v>
      </c>
      <c r="JH35" s="28">
        <v>3427.3301420008852</v>
      </c>
      <c r="JI35" s="28">
        <v>176.59600144816767</v>
      </c>
      <c r="JJ35">
        <v>954</v>
      </c>
      <c r="JK35">
        <v>3875</v>
      </c>
      <c r="JL35">
        <v>215</v>
      </c>
      <c r="JM35">
        <v>2</v>
      </c>
      <c r="JN35">
        <v>1963</v>
      </c>
      <c r="JO35">
        <v>562</v>
      </c>
      <c r="JP35">
        <v>274</v>
      </c>
      <c r="JQ35">
        <v>1605</v>
      </c>
      <c r="JR35">
        <v>3314</v>
      </c>
      <c r="JS35">
        <v>137</v>
      </c>
      <c r="JT35">
        <v>155</v>
      </c>
      <c r="JU35">
        <v>2517</v>
      </c>
      <c r="JV35">
        <v>289</v>
      </c>
      <c r="JW35" s="28"/>
      <c r="JX35" s="28"/>
      <c r="JY35" s="28"/>
      <c r="JZ35" s="28"/>
      <c r="KA35" s="28">
        <v>4936.9999915799999</v>
      </c>
      <c r="KB35">
        <v>22143</v>
      </c>
      <c r="KC35">
        <v>10</v>
      </c>
      <c r="KD35">
        <v>6</v>
      </c>
      <c r="KE35">
        <v>0</v>
      </c>
      <c r="KF35">
        <v>6</v>
      </c>
      <c r="KG35">
        <v>0</v>
      </c>
      <c r="KH35">
        <v>0</v>
      </c>
      <c r="KI35">
        <v>4</v>
      </c>
      <c r="KJ35">
        <v>4524</v>
      </c>
      <c r="KK35">
        <v>18829</v>
      </c>
      <c r="KL35">
        <v>864</v>
      </c>
      <c r="KM35">
        <v>16</v>
      </c>
      <c r="KT35">
        <v>3408</v>
      </c>
      <c r="KU35">
        <v>3357</v>
      </c>
      <c r="KV35">
        <v>3082</v>
      </c>
      <c r="KW35">
        <v>196</v>
      </c>
      <c r="KX35">
        <v>30</v>
      </c>
      <c r="KZ35">
        <v>3035</v>
      </c>
      <c r="LA35">
        <v>189</v>
      </c>
      <c r="LB35">
        <v>28</v>
      </c>
      <c r="LD35">
        <v>2086</v>
      </c>
      <c r="LE35">
        <v>2096</v>
      </c>
      <c r="LF35">
        <v>1195</v>
      </c>
      <c r="LG35">
        <v>2147</v>
      </c>
      <c r="LH35">
        <v>14821</v>
      </c>
      <c r="LI35">
        <v>17</v>
      </c>
      <c r="LJ35">
        <v>1906</v>
      </c>
      <c r="LK35">
        <v>293</v>
      </c>
      <c r="LL35">
        <v>1518</v>
      </c>
      <c r="LM35">
        <v>2</v>
      </c>
      <c r="LN35">
        <v>692</v>
      </c>
      <c r="LO35">
        <v>109</v>
      </c>
      <c r="LP35">
        <v>13</v>
      </c>
      <c r="LQ35">
        <v>1910</v>
      </c>
      <c r="LR35">
        <v>267</v>
      </c>
      <c r="LS35">
        <v>1674</v>
      </c>
      <c r="LT35">
        <v>2</v>
      </c>
      <c r="LU35">
        <v>540</v>
      </c>
      <c r="LV35">
        <v>78</v>
      </c>
      <c r="LW35" s="44"/>
      <c r="LX35" s="44"/>
      <c r="LY35" s="44"/>
      <c r="LZ35">
        <v>5046</v>
      </c>
      <c r="MA35">
        <v>24233</v>
      </c>
      <c r="MB35">
        <v>22606</v>
      </c>
      <c r="MC35">
        <v>19867</v>
      </c>
      <c r="MD35" s="26">
        <v>22.549085999999999</v>
      </c>
      <c r="ME35" s="26">
        <v>13.988149</v>
      </c>
      <c r="MF35" s="26">
        <v>64.718980000000002</v>
      </c>
      <c r="MG35" s="26">
        <v>15.033163999999999</v>
      </c>
      <c r="MH35" s="26">
        <v>18.906064000000001</v>
      </c>
      <c r="MI35" s="26">
        <v>1.1494249999999999</v>
      </c>
      <c r="MJ35" s="26">
        <v>0.71343599999999996</v>
      </c>
      <c r="MK35" s="26">
        <v>4.7760600000000002</v>
      </c>
      <c r="ML35" s="26">
        <v>2.1601269999999997</v>
      </c>
      <c r="MM35" s="26">
        <v>88.862465</v>
      </c>
      <c r="MN35" s="26">
        <v>61.097898999999998</v>
      </c>
      <c r="MO35" s="26">
        <v>1.301126</v>
      </c>
      <c r="MP35" t="s">
        <v>1028</v>
      </c>
      <c r="MQ35">
        <v>277</v>
      </c>
      <c r="MR35">
        <v>29</v>
      </c>
    </row>
    <row r="36" spans="1:356">
      <c r="A36" t="s">
        <v>279</v>
      </c>
      <c r="B36" t="s">
        <v>280</v>
      </c>
      <c r="C36" t="s">
        <v>393</v>
      </c>
      <c r="D36" t="s">
        <v>359</v>
      </c>
      <c r="E36">
        <v>15587</v>
      </c>
      <c r="F36" t="e">
        <f t="shared" si="2"/>
        <v>#VALUE!</v>
      </c>
      <c r="G36" s="26" t="e">
        <f t="shared" si="3"/>
        <v>#VALUE!</v>
      </c>
      <c r="H36">
        <v>7591</v>
      </c>
      <c r="I36">
        <v>7996</v>
      </c>
      <c r="J36">
        <v>11949</v>
      </c>
      <c r="K36">
        <v>3638</v>
      </c>
      <c r="L36">
        <v>652</v>
      </c>
      <c r="M36">
        <v>798</v>
      </c>
      <c r="N36">
        <v>739</v>
      </c>
      <c r="O36">
        <v>704</v>
      </c>
      <c r="P36">
        <v>565</v>
      </c>
      <c r="Q36">
        <v>491</v>
      </c>
      <c r="R36">
        <v>494</v>
      </c>
      <c r="S36">
        <v>453</v>
      </c>
      <c r="T36">
        <v>493</v>
      </c>
      <c r="U36">
        <v>431</v>
      </c>
      <c r="V36">
        <v>389</v>
      </c>
      <c r="W36">
        <v>305</v>
      </c>
      <c r="X36">
        <v>302</v>
      </c>
      <c r="Y36">
        <v>773</v>
      </c>
      <c r="Z36">
        <v>2</v>
      </c>
      <c r="AA36">
        <v>708</v>
      </c>
      <c r="AB36">
        <v>773</v>
      </c>
      <c r="AC36">
        <v>767</v>
      </c>
      <c r="AD36">
        <v>677</v>
      </c>
      <c r="AE36">
        <v>647</v>
      </c>
      <c r="AF36">
        <v>616</v>
      </c>
      <c r="AG36">
        <v>555</v>
      </c>
      <c r="AH36">
        <v>571</v>
      </c>
      <c r="AI36">
        <v>555</v>
      </c>
      <c r="AJ36">
        <v>434</v>
      </c>
      <c r="AK36">
        <v>413</v>
      </c>
      <c r="AL36">
        <v>348</v>
      </c>
      <c r="AM36">
        <v>291</v>
      </c>
      <c r="AN36">
        <v>639</v>
      </c>
      <c r="AO36">
        <v>2</v>
      </c>
      <c r="AP36">
        <v>15421</v>
      </c>
      <c r="AQ36">
        <v>145</v>
      </c>
      <c r="AR36">
        <v>11</v>
      </c>
      <c r="AS36">
        <v>5</v>
      </c>
      <c r="AT36">
        <v>5</v>
      </c>
      <c r="AU36">
        <v>587</v>
      </c>
      <c r="AV36">
        <v>284</v>
      </c>
      <c r="AW36">
        <v>303</v>
      </c>
      <c r="AX36" t="s">
        <v>393</v>
      </c>
      <c r="AY36" t="s">
        <v>393</v>
      </c>
      <c r="AZ36" t="s">
        <v>393</v>
      </c>
      <c r="BA36" t="s">
        <v>393</v>
      </c>
      <c r="BB36">
        <v>10</v>
      </c>
      <c r="BC36">
        <v>23</v>
      </c>
      <c r="BD36">
        <v>44</v>
      </c>
      <c r="BE36">
        <v>52</v>
      </c>
      <c r="BF36">
        <v>43</v>
      </c>
      <c r="BG36">
        <v>32</v>
      </c>
      <c r="BH36">
        <v>25</v>
      </c>
      <c r="BI36">
        <v>29</v>
      </c>
      <c r="BJ36">
        <v>33</v>
      </c>
      <c r="BK36">
        <v>32</v>
      </c>
      <c r="BL36">
        <v>22</v>
      </c>
      <c r="BM36">
        <v>36</v>
      </c>
      <c r="BN36">
        <v>30</v>
      </c>
      <c r="BO36">
        <v>24</v>
      </c>
      <c r="BP36">
        <v>11</v>
      </c>
      <c r="BQ36">
        <v>19</v>
      </c>
      <c r="BR36">
        <v>13</v>
      </c>
      <c r="BS36">
        <v>8</v>
      </c>
      <c r="BT36">
        <v>16</v>
      </c>
      <c r="BU36">
        <v>17</v>
      </c>
      <c r="BV36">
        <v>9</v>
      </c>
      <c r="BW36">
        <v>8</v>
      </c>
      <c r="BX36">
        <v>13</v>
      </c>
      <c r="BY36">
        <v>7</v>
      </c>
      <c r="BZ36">
        <v>7</v>
      </c>
      <c r="CA36">
        <v>5</v>
      </c>
      <c r="CB36">
        <v>8</v>
      </c>
      <c r="CC36">
        <v>11</v>
      </c>
      <c r="CD36">
        <v>268</v>
      </c>
      <c r="CE36">
        <v>281</v>
      </c>
      <c r="CF36">
        <v>16</v>
      </c>
      <c r="CG36">
        <v>22</v>
      </c>
      <c r="CH36">
        <v>2718</v>
      </c>
      <c r="CI36">
        <v>1547</v>
      </c>
      <c r="CJ36">
        <v>10276</v>
      </c>
      <c r="CK36">
        <v>5305</v>
      </c>
      <c r="CL36">
        <v>454</v>
      </c>
      <c r="CM36">
        <v>804</v>
      </c>
      <c r="CN36">
        <v>872</v>
      </c>
      <c r="CO36">
        <v>949</v>
      </c>
      <c r="CP36">
        <v>590</v>
      </c>
      <c r="CQ36">
        <v>596</v>
      </c>
      <c r="CR36">
        <v>3010</v>
      </c>
      <c r="CS36">
        <v>6029</v>
      </c>
      <c r="CT36">
        <v>1273</v>
      </c>
      <c r="CU36">
        <v>408</v>
      </c>
      <c r="CV36">
        <v>192</v>
      </c>
      <c r="CW36">
        <v>387</v>
      </c>
      <c r="CX36">
        <v>14</v>
      </c>
      <c r="CY36">
        <v>2709</v>
      </c>
      <c r="CZ36">
        <v>1087</v>
      </c>
      <c r="DA36">
        <v>13</v>
      </c>
      <c r="DB36">
        <v>454</v>
      </c>
      <c r="DC36">
        <v>1</v>
      </c>
      <c r="DD36">
        <v>702</v>
      </c>
      <c r="DE36">
        <v>142</v>
      </c>
      <c r="DF36">
        <v>303</v>
      </c>
      <c r="DG36">
        <v>2491</v>
      </c>
      <c r="DH36">
        <v>0</v>
      </c>
      <c r="DI36">
        <v>0</v>
      </c>
      <c r="DJ36">
        <v>11949</v>
      </c>
      <c r="DK36">
        <v>0</v>
      </c>
      <c r="DL36">
        <v>0</v>
      </c>
      <c r="DM36">
        <v>80</v>
      </c>
      <c r="DN36">
        <v>1</v>
      </c>
      <c r="DO36">
        <v>1</v>
      </c>
      <c r="DP36">
        <v>1</v>
      </c>
      <c r="DQ36">
        <v>0</v>
      </c>
      <c r="DR36">
        <v>0</v>
      </c>
      <c r="DS36">
        <v>1</v>
      </c>
      <c r="DT36">
        <v>0</v>
      </c>
      <c r="DU36">
        <v>0</v>
      </c>
      <c r="DV36">
        <v>520</v>
      </c>
      <c r="DW36">
        <v>589</v>
      </c>
      <c r="DX36">
        <v>707</v>
      </c>
      <c r="DY36">
        <v>814</v>
      </c>
      <c r="DZ36">
        <v>312</v>
      </c>
      <c r="EA36">
        <v>234</v>
      </c>
      <c r="EB36">
        <v>133</v>
      </c>
      <c r="EC36">
        <v>136</v>
      </c>
      <c r="ED36">
        <v>124</v>
      </c>
      <c r="EE36">
        <v>124</v>
      </c>
      <c r="EF36">
        <v>208</v>
      </c>
      <c r="EG36">
        <v>247</v>
      </c>
      <c r="EH36">
        <v>67</v>
      </c>
      <c r="EI36">
        <v>62</v>
      </c>
      <c r="EJ36">
        <v>692</v>
      </c>
      <c r="EK36">
        <v>976</v>
      </c>
      <c r="EL36">
        <v>347</v>
      </c>
      <c r="EM36">
        <v>179</v>
      </c>
      <c r="EN36">
        <v>155</v>
      </c>
      <c r="EO36">
        <v>265</v>
      </c>
      <c r="EP36">
        <v>85</v>
      </c>
      <c r="EQ36">
        <v>4516</v>
      </c>
      <c r="ER36">
        <v>4368</v>
      </c>
      <c r="ES36">
        <v>148</v>
      </c>
      <c r="ET36">
        <v>1285</v>
      </c>
      <c r="EU36">
        <v>2248</v>
      </c>
      <c r="EV36">
        <v>2208</v>
      </c>
      <c r="EW36">
        <v>40</v>
      </c>
      <c r="EX36">
        <v>3932</v>
      </c>
      <c r="EY36" s="26">
        <v>39.182453000000002</v>
      </c>
      <c r="EZ36" s="26">
        <v>15.270854</v>
      </c>
      <c r="FA36" s="26">
        <v>17.547357999999999</v>
      </c>
      <c r="FB36" s="26">
        <v>27.002326</v>
      </c>
      <c r="FC36" s="26">
        <v>0.99700900000000003</v>
      </c>
      <c r="FD36">
        <v>754</v>
      </c>
      <c r="FE36">
        <v>2311</v>
      </c>
      <c r="FF36">
        <v>216</v>
      </c>
      <c r="FG36">
        <v>1473</v>
      </c>
      <c r="FH36">
        <v>19</v>
      </c>
      <c r="FI36">
        <v>1269</v>
      </c>
      <c r="FJ36">
        <v>716</v>
      </c>
      <c r="FK36" s="26" t="s">
        <v>359</v>
      </c>
      <c r="FL36" s="26" t="s">
        <v>359</v>
      </c>
      <c r="FM36" s="26" t="s">
        <v>359</v>
      </c>
      <c r="FN36" s="26" t="s">
        <v>359</v>
      </c>
      <c r="FO36" s="28">
        <v>4946</v>
      </c>
      <c r="FP36" s="28">
        <v>2641</v>
      </c>
      <c r="FQ36">
        <v>411</v>
      </c>
      <c r="FR36">
        <v>184</v>
      </c>
      <c r="FS36">
        <v>52</v>
      </c>
      <c r="FT36">
        <v>45</v>
      </c>
      <c r="FU36">
        <v>3968</v>
      </c>
      <c r="FV36">
        <v>117</v>
      </c>
      <c r="FW36">
        <v>148</v>
      </c>
      <c r="FX36">
        <v>4</v>
      </c>
      <c r="FY36">
        <v>5495</v>
      </c>
      <c r="FZ36">
        <v>2498</v>
      </c>
      <c r="GA36">
        <v>405</v>
      </c>
      <c r="GB36">
        <v>190</v>
      </c>
      <c r="GC36">
        <v>51</v>
      </c>
      <c r="GD36">
        <v>47</v>
      </c>
      <c r="GE36">
        <v>4472</v>
      </c>
      <c r="GF36">
        <v>134</v>
      </c>
      <c r="GG36">
        <v>157</v>
      </c>
      <c r="GH36">
        <v>3</v>
      </c>
      <c r="GI36">
        <v>413</v>
      </c>
      <c r="GJ36">
        <v>585</v>
      </c>
      <c r="GK36">
        <v>524</v>
      </c>
      <c r="GL36">
        <v>455</v>
      </c>
      <c r="GM36">
        <v>353</v>
      </c>
      <c r="GN36">
        <v>323</v>
      </c>
      <c r="GO36">
        <v>313</v>
      </c>
      <c r="GP36">
        <v>292</v>
      </c>
      <c r="GQ36">
        <v>332</v>
      </c>
      <c r="GR36">
        <v>272</v>
      </c>
      <c r="GS36">
        <v>227</v>
      </c>
      <c r="GT36">
        <v>193</v>
      </c>
      <c r="GU36">
        <v>187</v>
      </c>
      <c r="GV36">
        <v>160</v>
      </c>
      <c r="GW36">
        <v>138</v>
      </c>
      <c r="GX36">
        <v>92</v>
      </c>
      <c r="GY36">
        <v>47</v>
      </c>
      <c r="GZ36">
        <v>40</v>
      </c>
      <c r="HA36">
        <v>491</v>
      </c>
      <c r="HB36">
        <v>571</v>
      </c>
      <c r="HC36">
        <v>554</v>
      </c>
      <c r="HD36">
        <v>468</v>
      </c>
      <c r="HE36">
        <v>449</v>
      </c>
      <c r="HF36">
        <v>435</v>
      </c>
      <c r="HG36">
        <v>389</v>
      </c>
      <c r="HH36">
        <v>394</v>
      </c>
      <c r="HI36">
        <v>389</v>
      </c>
      <c r="HJ36">
        <v>289</v>
      </c>
      <c r="HK36">
        <v>254</v>
      </c>
      <c r="HL36">
        <v>231</v>
      </c>
      <c r="HM36">
        <v>190</v>
      </c>
      <c r="HN36">
        <v>131</v>
      </c>
      <c r="HO36">
        <v>104</v>
      </c>
      <c r="HP36">
        <v>81</v>
      </c>
      <c r="HQ36">
        <v>43</v>
      </c>
      <c r="HR36">
        <v>32</v>
      </c>
      <c r="HS36">
        <v>3965</v>
      </c>
      <c r="HT36">
        <v>0</v>
      </c>
      <c r="HU36">
        <v>0</v>
      </c>
      <c r="HV36">
        <v>0</v>
      </c>
      <c r="HW36">
        <v>6</v>
      </c>
      <c r="HX36">
        <v>0</v>
      </c>
      <c r="HY36">
        <v>6</v>
      </c>
      <c r="HZ36">
        <v>0</v>
      </c>
      <c r="IA36">
        <v>450</v>
      </c>
      <c r="IB36">
        <v>803</v>
      </c>
      <c r="IC36">
        <v>870</v>
      </c>
      <c r="ID36">
        <v>947</v>
      </c>
      <c r="IE36">
        <v>588</v>
      </c>
      <c r="IF36">
        <v>303</v>
      </c>
      <c r="IG36">
        <v>153</v>
      </c>
      <c r="IH36">
        <v>72</v>
      </c>
      <c r="II36">
        <v>67</v>
      </c>
      <c r="IJ36">
        <v>922</v>
      </c>
      <c r="IK36">
        <v>1352</v>
      </c>
      <c r="IL36">
        <v>1141</v>
      </c>
      <c r="IM36">
        <v>559</v>
      </c>
      <c r="IN36">
        <v>179</v>
      </c>
      <c r="IO36">
        <v>65</v>
      </c>
      <c r="IP36">
        <v>18</v>
      </c>
      <c r="IQ36">
        <v>9</v>
      </c>
      <c r="IR36">
        <v>6</v>
      </c>
      <c r="IS36">
        <v>2132</v>
      </c>
      <c r="IT36">
        <v>1516</v>
      </c>
      <c r="IU36">
        <v>498</v>
      </c>
      <c r="IV36">
        <v>93</v>
      </c>
      <c r="IW36">
        <v>13</v>
      </c>
      <c r="IX36">
        <v>1165</v>
      </c>
      <c r="IY36">
        <v>2763</v>
      </c>
      <c r="IZ36">
        <v>9</v>
      </c>
      <c r="JA36">
        <v>57</v>
      </c>
      <c r="JB36">
        <v>39</v>
      </c>
      <c r="JC36">
        <v>29</v>
      </c>
      <c r="JD36">
        <v>4122</v>
      </c>
      <c r="JE36">
        <v>129</v>
      </c>
      <c r="JF36">
        <v>2</v>
      </c>
      <c r="JH36" s="28">
        <v>0</v>
      </c>
      <c r="JI36" s="28">
        <v>0</v>
      </c>
      <c r="JJ36">
        <v>248</v>
      </c>
      <c r="JK36">
        <v>3779</v>
      </c>
      <c r="JL36">
        <v>225</v>
      </c>
      <c r="JM36">
        <v>1</v>
      </c>
      <c r="JN36">
        <v>3331</v>
      </c>
      <c r="JO36">
        <v>2773</v>
      </c>
      <c r="JP36">
        <v>837</v>
      </c>
      <c r="JQ36">
        <v>3211</v>
      </c>
      <c r="JR36">
        <v>3803</v>
      </c>
      <c r="JS36">
        <v>433</v>
      </c>
      <c r="JT36">
        <v>211</v>
      </c>
      <c r="JU36">
        <v>3258</v>
      </c>
      <c r="JV36">
        <v>301</v>
      </c>
      <c r="JW36" s="28"/>
      <c r="JX36" s="28"/>
      <c r="JY36" s="28"/>
      <c r="JZ36" s="28"/>
      <c r="KA36" s="28">
        <v>4176.9999957800001</v>
      </c>
      <c r="KB36">
        <v>14537</v>
      </c>
      <c r="KC36">
        <v>0</v>
      </c>
      <c r="KD36">
        <v>0</v>
      </c>
      <c r="KE36">
        <v>0</v>
      </c>
      <c r="KF36">
        <v>20</v>
      </c>
      <c r="KG36">
        <v>0</v>
      </c>
      <c r="KH36">
        <v>16</v>
      </c>
      <c r="KI36">
        <v>0</v>
      </c>
      <c r="KJ36">
        <v>933</v>
      </c>
      <c r="KK36">
        <v>13818</v>
      </c>
      <c r="KL36">
        <v>790</v>
      </c>
      <c r="KM36">
        <v>4</v>
      </c>
      <c r="KT36">
        <v>2137</v>
      </c>
      <c r="KU36">
        <v>2093</v>
      </c>
      <c r="KV36">
        <v>1695</v>
      </c>
      <c r="KW36">
        <v>304</v>
      </c>
      <c r="KX36">
        <v>91</v>
      </c>
      <c r="KZ36">
        <v>1695</v>
      </c>
      <c r="LA36">
        <v>244</v>
      </c>
      <c r="LB36">
        <v>92</v>
      </c>
      <c r="LD36">
        <v>1141</v>
      </c>
      <c r="LE36">
        <v>1188</v>
      </c>
      <c r="LF36">
        <v>696</v>
      </c>
      <c r="LG36">
        <v>885</v>
      </c>
      <c r="LH36">
        <v>11146</v>
      </c>
      <c r="LI36">
        <v>17</v>
      </c>
      <c r="LJ36">
        <v>830</v>
      </c>
      <c r="LK36">
        <v>168</v>
      </c>
      <c r="LL36">
        <v>1014</v>
      </c>
      <c r="LM36">
        <v>11</v>
      </c>
      <c r="LN36">
        <v>774</v>
      </c>
      <c r="LO36">
        <v>287</v>
      </c>
      <c r="LP36">
        <v>8</v>
      </c>
      <c r="LQ36">
        <v>965</v>
      </c>
      <c r="LR36">
        <v>161</v>
      </c>
      <c r="LS36">
        <v>1364</v>
      </c>
      <c r="LT36">
        <v>11</v>
      </c>
      <c r="LU36">
        <v>690</v>
      </c>
      <c r="LV36">
        <v>197</v>
      </c>
      <c r="LW36" s="44"/>
      <c r="LX36" s="44"/>
      <c r="LY36" s="44"/>
      <c r="LZ36">
        <v>4253</v>
      </c>
      <c r="MA36">
        <v>15545</v>
      </c>
      <c r="MB36" t="s">
        <v>359</v>
      </c>
      <c r="MC36" t="s">
        <v>359</v>
      </c>
      <c r="MD36" s="26">
        <v>14.184460999999999</v>
      </c>
      <c r="ME36" s="26">
        <v>8.233587</v>
      </c>
      <c r="MF36" s="26">
        <v>51.211196999999999</v>
      </c>
      <c r="MG36" s="26">
        <v>32.969783</v>
      </c>
      <c r="MH36" s="26">
        <v>5.8311779999999995</v>
      </c>
      <c r="MI36" s="26">
        <v>3.0096399999999996</v>
      </c>
      <c r="MJ36" s="26">
        <v>3.4563839999999999</v>
      </c>
      <c r="MK36" s="26">
        <v>3.033153</v>
      </c>
      <c r="ML36" s="26">
        <v>1.7869739999999998</v>
      </c>
      <c r="MM36" s="26">
        <v>34.798964999999995</v>
      </c>
      <c r="MN36" s="26">
        <v>21.678815</v>
      </c>
      <c r="MO36" s="26">
        <v>-0.12643399999999999</v>
      </c>
      <c r="MP36" t="s">
        <v>1027</v>
      </c>
      <c r="MQ36">
        <v>1156</v>
      </c>
      <c r="MR36">
        <v>105</v>
      </c>
    </row>
    <row r="37" spans="1:356">
      <c r="A37" t="s">
        <v>177</v>
      </c>
      <c r="B37" t="s">
        <v>178</v>
      </c>
      <c r="C37">
        <v>11641</v>
      </c>
      <c r="D37">
        <v>13201</v>
      </c>
      <c r="E37">
        <v>12263</v>
      </c>
      <c r="F37">
        <f t="shared" si="2"/>
        <v>-938</v>
      </c>
      <c r="G37" s="26">
        <f t="shared" si="3"/>
        <v>-7.1055223089159938</v>
      </c>
      <c r="H37">
        <v>6104</v>
      </c>
      <c r="I37">
        <v>6159</v>
      </c>
      <c r="J37">
        <v>0</v>
      </c>
      <c r="K37">
        <v>12263</v>
      </c>
      <c r="L37">
        <v>661</v>
      </c>
      <c r="M37">
        <v>786</v>
      </c>
      <c r="N37">
        <v>782</v>
      </c>
      <c r="O37">
        <v>610</v>
      </c>
      <c r="P37">
        <v>484</v>
      </c>
      <c r="Q37">
        <v>441</v>
      </c>
      <c r="R37">
        <v>378</v>
      </c>
      <c r="S37">
        <v>358</v>
      </c>
      <c r="T37">
        <v>324</v>
      </c>
      <c r="U37">
        <v>260</v>
      </c>
      <c r="V37">
        <v>243</v>
      </c>
      <c r="W37">
        <v>172</v>
      </c>
      <c r="X37">
        <v>151</v>
      </c>
      <c r="Y37">
        <v>434</v>
      </c>
      <c r="Z37">
        <v>20</v>
      </c>
      <c r="AA37">
        <v>641</v>
      </c>
      <c r="AB37">
        <v>766</v>
      </c>
      <c r="AC37">
        <v>772</v>
      </c>
      <c r="AD37">
        <v>620</v>
      </c>
      <c r="AE37">
        <v>468</v>
      </c>
      <c r="AF37">
        <v>449</v>
      </c>
      <c r="AG37">
        <v>417</v>
      </c>
      <c r="AH37">
        <v>389</v>
      </c>
      <c r="AI37">
        <v>321</v>
      </c>
      <c r="AJ37">
        <v>286</v>
      </c>
      <c r="AK37">
        <v>229</v>
      </c>
      <c r="AL37">
        <v>186</v>
      </c>
      <c r="AM37">
        <v>137</v>
      </c>
      <c r="AN37">
        <v>457</v>
      </c>
      <c r="AO37">
        <v>21</v>
      </c>
      <c r="AP37">
        <v>12175</v>
      </c>
      <c r="AQ37">
        <v>39</v>
      </c>
      <c r="AR37">
        <v>6</v>
      </c>
      <c r="AS37">
        <v>2</v>
      </c>
      <c r="AT37">
        <v>41</v>
      </c>
      <c r="AU37">
        <v>269</v>
      </c>
      <c r="AV37">
        <v>150</v>
      </c>
      <c r="AW37">
        <v>119</v>
      </c>
      <c r="AX37">
        <v>736</v>
      </c>
      <c r="AY37">
        <v>804</v>
      </c>
      <c r="AZ37">
        <v>804</v>
      </c>
      <c r="BA37">
        <v>0</v>
      </c>
      <c r="BB37">
        <v>0</v>
      </c>
      <c r="BC37">
        <v>4</v>
      </c>
      <c r="BD37">
        <v>4</v>
      </c>
      <c r="BE37">
        <v>4</v>
      </c>
      <c r="BF37">
        <v>7</v>
      </c>
      <c r="BG37">
        <v>6</v>
      </c>
      <c r="BH37">
        <v>2</v>
      </c>
      <c r="BI37">
        <v>5</v>
      </c>
      <c r="BJ37">
        <v>4</v>
      </c>
      <c r="BK37">
        <v>4</v>
      </c>
      <c r="BL37">
        <v>4</v>
      </c>
      <c r="BM37">
        <v>8</v>
      </c>
      <c r="BN37">
        <v>10</v>
      </c>
      <c r="BO37">
        <v>5</v>
      </c>
      <c r="BP37">
        <v>10</v>
      </c>
      <c r="BQ37">
        <v>8</v>
      </c>
      <c r="BR37">
        <v>7</v>
      </c>
      <c r="BS37">
        <v>3</v>
      </c>
      <c r="BT37">
        <v>11</v>
      </c>
      <c r="BU37">
        <v>7</v>
      </c>
      <c r="BV37">
        <v>7</v>
      </c>
      <c r="BW37">
        <v>2</v>
      </c>
      <c r="BX37">
        <v>7</v>
      </c>
      <c r="BY37">
        <v>11</v>
      </c>
      <c r="BZ37">
        <v>11</v>
      </c>
      <c r="CA37">
        <v>8</v>
      </c>
      <c r="CB37">
        <v>66</v>
      </c>
      <c r="CC37">
        <v>44</v>
      </c>
      <c r="CD37">
        <v>150</v>
      </c>
      <c r="CE37">
        <v>119</v>
      </c>
      <c r="CF37">
        <v>0</v>
      </c>
      <c r="CG37">
        <v>0</v>
      </c>
      <c r="CH37">
        <v>1776</v>
      </c>
      <c r="CI37">
        <v>627</v>
      </c>
      <c r="CJ37">
        <v>9385</v>
      </c>
      <c r="CK37">
        <v>2878</v>
      </c>
      <c r="CL37">
        <v>128</v>
      </c>
      <c r="CM37">
        <v>220</v>
      </c>
      <c r="CN37">
        <v>280</v>
      </c>
      <c r="CO37">
        <v>410</v>
      </c>
      <c r="CP37">
        <v>423</v>
      </c>
      <c r="CQ37">
        <v>942</v>
      </c>
      <c r="CR37">
        <v>1882</v>
      </c>
      <c r="CS37">
        <v>5999</v>
      </c>
      <c r="CT37">
        <v>1188</v>
      </c>
      <c r="CU37">
        <v>386</v>
      </c>
      <c r="CV37">
        <v>189</v>
      </c>
      <c r="CW37">
        <v>182</v>
      </c>
      <c r="CX37">
        <v>3</v>
      </c>
      <c r="CY37">
        <v>1504</v>
      </c>
      <c r="CZ37">
        <v>759</v>
      </c>
      <c r="DA37">
        <v>2</v>
      </c>
      <c r="DB37">
        <v>128</v>
      </c>
      <c r="DC37">
        <v>0</v>
      </c>
      <c r="DD37">
        <v>989</v>
      </c>
      <c r="DE37">
        <v>2615</v>
      </c>
      <c r="DF37">
        <v>6383</v>
      </c>
      <c r="DG37">
        <v>2276</v>
      </c>
      <c r="DH37">
        <v>0</v>
      </c>
      <c r="DI37">
        <v>0</v>
      </c>
      <c r="DJ37">
        <v>0</v>
      </c>
      <c r="DK37">
        <v>0</v>
      </c>
      <c r="DL37">
        <v>0</v>
      </c>
      <c r="DM37">
        <v>18</v>
      </c>
      <c r="DN37">
        <v>18</v>
      </c>
      <c r="DO37">
        <v>18</v>
      </c>
      <c r="DP37">
        <v>2</v>
      </c>
      <c r="DQ37">
        <v>0</v>
      </c>
      <c r="DR37">
        <v>0</v>
      </c>
      <c r="DS37">
        <v>0</v>
      </c>
      <c r="DT37">
        <v>0</v>
      </c>
      <c r="DU37">
        <v>0</v>
      </c>
      <c r="DV37">
        <v>152</v>
      </c>
      <c r="DW37">
        <v>183</v>
      </c>
      <c r="DX37">
        <v>257</v>
      </c>
      <c r="DY37">
        <v>311</v>
      </c>
      <c r="DZ37">
        <v>159</v>
      </c>
      <c r="EA37">
        <v>164</v>
      </c>
      <c r="EB37">
        <v>88</v>
      </c>
      <c r="EC37">
        <v>92</v>
      </c>
      <c r="ED37">
        <v>101</v>
      </c>
      <c r="EE37">
        <v>100</v>
      </c>
      <c r="EF37">
        <v>109</v>
      </c>
      <c r="EG37">
        <v>118</v>
      </c>
      <c r="EH37">
        <v>76</v>
      </c>
      <c r="EI37">
        <v>94</v>
      </c>
      <c r="EJ37">
        <v>316</v>
      </c>
      <c r="EK37">
        <v>531</v>
      </c>
      <c r="EL37">
        <v>304</v>
      </c>
      <c r="EM37">
        <v>171</v>
      </c>
      <c r="EN37">
        <v>185</v>
      </c>
      <c r="EO37">
        <v>214</v>
      </c>
      <c r="EP37">
        <v>160</v>
      </c>
      <c r="EQ37">
        <v>3050</v>
      </c>
      <c r="ER37">
        <v>2746</v>
      </c>
      <c r="ES37">
        <v>304</v>
      </c>
      <c r="ET37">
        <v>1281</v>
      </c>
      <c r="EU37">
        <v>1865</v>
      </c>
      <c r="EV37">
        <v>1813</v>
      </c>
      <c r="EW37">
        <v>52</v>
      </c>
      <c r="EX37">
        <v>2558</v>
      </c>
      <c r="EY37" s="26">
        <v>68.353694000000004</v>
      </c>
      <c r="EZ37" s="26">
        <v>8.0279230000000013</v>
      </c>
      <c r="FA37" s="26">
        <v>7.5043629999999997</v>
      </c>
      <c r="FB37" s="26">
        <v>15.706806</v>
      </c>
      <c r="FC37" s="26">
        <v>0.40721299999999999</v>
      </c>
      <c r="FD37">
        <v>503</v>
      </c>
      <c r="FE37">
        <v>1749</v>
      </c>
      <c r="FF37">
        <v>71</v>
      </c>
      <c r="FG37">
        <v>1690</v>
      </c>
      <c r="FH37">
        <v>22</v>
      </c>
      <c r="FI37">
        <v>738</v>
      </c>
      <c r="FJ37">
        <v>140</v>
      </c>
      <c r="FK37" s="26" t="s">
        <v>359</v>
      </c>
      <c r="FL37" s="26" t="s">
        <v>359</v>
      </c>
      <c r="FM37" s="26" t="s">
        <v>359</v>
      </c>
      <c r="FN37" s="26" t="s">
        <v>359</v>
      </c>
      <c r="FO37" s="28">
        <v>5790</v>
      </c>
      <c r="FP37" s="28">
        <v>294</v>
      </c>
      <c r="FQ37">
        <v>166</v>
      </c>
      <c r="FR37">
        <v>51</v>
      </c>
      <c r="FS37">
        <v>5</v>
      </c>
      <c r="FT37">
        <v>1</v>
      </c>
      <c r="FU37">
        <v>5586</v>
      </c>
      <c r="FV37">
        <v>2</v>
      </c>
      <c r="FW37">
        <v>0</v>
      </c>
      <c r="FX37">
        <v>20</v>
      </c>
      <c r="FY37">
        <v>5888</v>
      </c>
      <c r="FZ37">
        <v>249</v>
      </c>
      <c r="GA37">
        <v>178</v>
      </c>
      <c r="GB37">
        <v>46</v>
      </c>
      <c r="GC37">
        <v>13</v>
      </c>
      <c r="GD37">
        <v>1</v>
      </c>
      <c r="GE37">
        <v>5654</v>
      </c>
      <c r="GF37">
        <v>1</v>
      </c>
      <c r="GG37">
        <v>0</v>
      </c>
      <c r="GH37">
        <v>22</v>
      </c>
      <c r="GI37">
        <v>602</v>
      </c>
      <c r="GJ37">
        <v>760</v>
      </c>
      <c r="GK37">
        <v>758</v>
      </c>
      <c r="GL37">
        <v>591</v>
      </c>
      <c r="GM37">
        <v>458</v>
      </c>
      <c r="GN37">
        <v>414</v>
      </c>
      <c r="GO37">
        <v>358</v>
      </c>
      <c r="GP37">
        <v>344</v>
      </c>
      <c r="GQ37">
        <v>311</v>
      </c>
      <c r="GR37">
        <v>247</v>
      </c>
      <c r="GS37">
        <v>236</v>
      </c>
      <c r="GT37">
        <v>158</v>
      </c>
      <c r="GU37">
        <v>143</v>
      </c>
      <c r="GV37">
        <v>130</v>
      </c>
      <c r="GW37">
        <v>88</v>
      </c>
      <c r="GX37">
        <v>92</v>
      </c>
      <c r="GY37">
        <v>58</v>
      </c>
      <c r="GZ37">
        <v>42</v>
      </c>
      <c r="HA37">
        <v>582</v>
      </c>
      <c r="HB37">
        <v>742</v>
      </c>
      <c r="HC37">
        <v>749</v>
      </c>
      <c r="HD37">
        <v>595</v>
      </c>
      <c r="HE37">
        <v>445</v>
      </c>
      <c r="HF37">
        <v>433</v>
      </c>
      <c r="HG37">
        <v>404</v>
      </c>
      <c r="HH37">
        <v>375</v>
      </c>
      <c r="HI37">
        <v>315</v>
      </c>
      <c r="HJ37">
        <v>278</v>
      </c>
      <c r="HK37">
        <v>222</v>
      </c>
      <c r="HL37">
        <v>177</v>
      </c>
      <c r="HM37">
        <v>134</v>
      </c>
      <c r="HN37">
        <v>146</v>
      </c>
      <c r="HO37">
        <v>107</v>
      </c>
      <c r="HP37">
        <v>78</v>
      </c>
      <c r="HQ37">
        <v>48</v>
      </c>
      <c r="HR37">
        <v>58</v>
      </c>
      <c r="HS37">
        <v>2363</v>
      </c>
      <c r="HT37">
        <v>0</v>
      </c>
      <c r="HU37">
        <v>0</v>
      </c>
      <c r="HV37">
        <v>0</v>
      </c>
      <c r="HW37">
        <v>2</v>
      </c>
      <c r="HX37">
        <v>0</v>
      </c>
      <c r="HY37">
        <v>0</v>
      </c>
      <c r="HZ37">
        <v>6</v>
      </c>
      <c r="IA37">
        <v>127</v>
      </c>
      <c r="IB37">
        <v>220</v>
      </c>
      <c r="IC37">
        <v>279</v>
      </c>
      <c r="ID37">
        <v>410</v>
      </c>
      <c r="IE37">
        <v>423</v>
      </c>
      <c r="IF37">
        <v>382</v>
      </c>
      <c r="IG37">
        <v>217</v>
      </c>
      <c r="IH37">
        <v>135</v>
      </c>
      <c r="II37">
        <v>208</v>
      </c>
      <c r="IJ37">
        <v>35</v>
      </c>
      <c r="IK37">
        <v>477</v>
      </c>
      <c r="IL37">
        <v>798</v>
      </c>
      <c r="IM37">
        <v>569</v>
      </c>
      <c r="IN37">
        <v>344</v>
      </c>
      <c r="IO37">
        <v>121</v>
      </c>
      <c r="IP37">
        <v>28</v>
      </c>
      <c r="IQ37">
        <v>14</v>
      </c>
      <c r="IR37">
        <v>5</v>
      </c>
      <c r="IS37">
        <v>589</v>
      </c>
      <c r="IT37">
        <v>950</v>
      </c>
      <c r="IU37">
        <v>539</v>
      </c>
      <c r="IV37">
        <v>234</v>
      </c>
      <c r="IW37">
        <v>79</v>
      </c>
      <c r="IX37">
        <v>341</v>
      </c>
      <c r="IY37">
        <v>167</v>
      </c>
      <c r="IZ37">
        <v>0</v>
      </c>
      <c r="JA37">
        <v>6</v>
      </c>
      <c r="JB37">
        <v>0</v>
      </c>
      <c r="JC37">
        <v>22</v>
      </c>
      <c r="JD37">
        <v>2099</v>
      </c>
      <c r="JE37">
        <v>292</v>
      </c>
      <c r="JF37">
        <v>10</v>
      </c>
      <c r="JH37" s="28">
        <v>2144.974851078759</v>
      </c>
      <c r="JI37" s="28">
        <v>28.753900160840065</v>
      </c>
      <c r="JJ37">
        <v>234</v>
      </c>
      <c r="JK37">
        <v>2120</v>
      </c>
      <c r="JL37">
        <v>37</v>
      </c>
      <c r="JM37">
        <v>10</v>
      </c>
      <c r="JN37">
        <v>1013</v>
      </c>
      <c r="JO37">
        <v>772</v>
      </c>
      <c r="JP37">
        <v>282</v>
      </c>
      <c r="JQ37">
        <v>1571</v>
      </c>
      <c r="JR37">
        <v>1709</v>
      </c>
      <c r="JS37">
        <v>84</v>
      </c>
      <c r="JT37">
        <v>70</v>
      </c>
      <c r="JU37">
        <v>858</v>
      </c>
      <c r="JV37">
        <v>172</v>
      </c>
      <c r="JW37" s="28"/>
      <c r="JX37" s="28"/>
      <c r="JY37" s="28"/>
      <c r="JZ37" s="28"/>
      <c r="KA37" s="28">
        <v>2382.9999911199998</v>
      </c>
      <c r="KB37">
        <v>12089</v>
      </c>
      <c r="KC37">
        <v>0</v>
      </c>
      <c r="KD37">
        <v>0</v>
      </c>
      <c r="KE37">
        <v>0</v>
      </c>
      <c r="KF37">
        <v>4</v>
      </c>
      <c r="KG37">
        <v>0</v>
      </c>
      <c r="KH37">
        <v>0</v>
      </c>
      <c r="KI37">
        <v>32</v>
      </c>
      <c r="KJ37">
        <v>1290</v>
      </c>
      <c r="KK37">
        <v>10776</v>
      </c>
      <c r="KL37">
        <v>152</v>
      </c>
      <c r="KM37">
        <v>41</v>
      </c>
      <c r="KT37">
        <v>1816</v>
      </c>
      <c r="KU37">
        <v>1772</v>
      </c>
      <c r="KV37">
        <v>1566</v>
      </c>
      <c r="KW37">
        <v>142</v>
      </c>
      <c r="KX37">
        <v>24</v>
      </c>
      <c r="KZ37">
        <v>1529</v>
      </c>
      <c r="LA37">
        <v>141</v>
      </c>
      <c r="LB37">
        <v>13</v>
      </c>
      <c r="LD37">
        <v>1192</v>
      </c>
      <c r="LE37">
        <v>1172</v>
      </c>
      <c r="LF37">
        <v>202</v>
      </c>
      <c r="LG37">
        <v>489</v>
      </c>
      <c r="LH37">
        <v>7814</v>
      </c>
      <c r="LI37">
        <v>48</v>
      </c>
      <c r="LJ37">
        <v>976</v>
      </c>
      <c r="LK37">
        <v>58</v>
      </c>
      <c r="LL37">
        <v>1324</v>
      </c>
      <c r="LM37">
        <v>29</v>
      </c>
      <c r="LN37">
        <v>563</v>
      </c>
      <c r="LO37">
        <v>87</v>
      </c>
      <c r="LP37">
        <v>56</v>
      </c>
      <c r="LQ37">
        <v>807</v>
      </c>
      <c r="LR37">
        <v>43</v>
      </c>
      <c r="LS37">
        <v>1428</v>
      </c>
      <c r="LT37">
        <v>16</v>
      </c>
      <c r="LU37">
        <v>469</v>
      </c>
      <c r="LV37">
        <v>57</v>
      </c>
      <c r="LW37" s="44"/>
      <c r="LX37" s="44"/>
      <c r="LY37" s="44"/>
      <c r="LZ37">
        <v>2401</v>
      </c>
      <c r="MA37">
        <v>12259</v>
      </c>
      <c r="MB37">
        <v>14121</v>
      </c>
      <c r="MC37">
        <v>379</v>
      </c>
      <c r="MD37" s="26">
        <v>8.843102</v>
      </c>
      <c r="ME37" s="26">
        <v>11.967036999999999</v>
      </c>
      <c r="MF37" s="26">
        <v>45.200921000000001</v>
      </c>
      <c r="MG37" s="26">
        <v>4.4279539999999997</v>
      </c>
      <c r="MH37" s="26">
        <v>9.7459389999999999</v>
      </c>
      <c r="MI37" s="26">
        <v>2.9571009999999998</v>
      </c>
      <c r="MJ37" s="26">
        <v>6.2057479999999998</v>
      </c>
      <c r="MK37" s="26">
        <v>12.161598999999999</v>
      </c>
      <c r="ML37" s="26">
        <v>0.74968800000000002</v>
      </c>
      <c r="MM37" s="26">
        <v>67.846730999999991</v>
      </c>
      <c r="MN37" s="26">
        <v>57.809245999999995</v>
      </c>
      <c r="MO37" s="26">
        <v>0.52770600000000001</v>
      </c>
      <c r="MP37" t="s">
        <v>1029</v>
      </c>
      <c r="MQ37">
        <v>591</v>
      </c>
      <c r="MR37">
        <v>58</v>
      </c>
    </row>
    <row r="38" spans="1:356">
      <c r="A38" t="s">
        <v>281</v>
      </c>
      <c r="B38" t="s">
        <v>282</v>
      </c>
      <c r="C38" t="s">
        <v>393</v>
      </c>
      <c r="D38" t="s">
        <v>359</v>
      </c>
      <c r="E38">
        <v>10783</v>
      </c>
      <c r="F38" t="e">
        <f t="shared" si="2"/>
        <v>#VALUE!</v>
      </c>
      <c r="G38" s="26" t="e">
        <f t="shared" si="3"/>
        <v>#VALUE!</v>
      </c>
      <c r="H38">
        <v>5371</v>
      </c>
      <c r="I38">
        <v>5412</v>
      </c>
      <c r="J38">
        <v>5240</v>
      </c>
      <c r="K38">
        <v>5543</v>
      </c>
      <c r="L38">
        <v>419</v>
      </c>
      <c r="M38">
        <v>557</v>
      </c>
      <c r="N38">
        <v>510</v>
      </c>
      <c r="O38">
        <v>525</v>
      </c>
      <c r="P38">
        <v>411</v>
      </c>
      <c r="Q38">
        <v>334</v>
      </c>
      <c r="R38">
        <v>347</v>
      </c>
      <c r="S38">
        <v>392</v>
      </c>
      <c r="T38">
        <v>332</v>
      </c>
      <c r="U38">
        <v>337</v>
      </c>
      <c r="V38">
        <v>269</v>
      </c>
      <c r="W38">
        <v>235</v>
      </c>
      <c r="X38">
        <v>206</v>
      </c>
      <c r="Y38">
        <v>497</v>
      </c>
      <c r="Z38">
        <v>0</v>
      </c>
      <c r="AA38">
        <v>448</v>
      </c>
      <c r="AB38">
        <v>526</v>
      </c>
      <c r="AC38">
        <v>523</v>
      </c>
      <c r="AD38">
        <v>452</v>
      </c>
      <c r="AE38">
        <v>425</v>
      </c>
      <c r="AF38">
        <v>393</v>
      </c>
      <c r="AG38">
        <v>409</v>
      </c>
      <c r="AH38">
        <v>420</v>
      </c>
      <c r="AI38">
        <v>370</v>
      </c>
      <c r="AJ38">
        <v>320</v>
      </c>
      <c r="AK38">
        <v>258</v>
      </c>
      <c r="AL38">
        <v>255</v>
      </c>
      <c r="AM38">
        <v>208</v>
      </c>
      <c r="AN38">
        <v>405</v>
      </c>
      <c r="AO38">
        <v>0</v>
      </c>
      <c r="AP38">
        <v>10576</v>
      </c>
      <c r="AQ38">
        <v>187</v>
      </c>
      <c r="AR38">
        <v>8</v>
      </c>
      <c r="AS38">
        <v>12</v>
      </c>
      <c r="AT38">
        <v>0</v>
      </c>
      <c r="AU38">
        <v>2106</v>
      </c>
      <c r="AV38">
        <v>1065</v>
      </c>
      <c r="AW38">
        <v>1041</v>
      </c>
      <c r="AX38" t="s">
        <v>393</v>
      </c>
      <c r="AY38" t="s">
        <v>393</v>
      </c>
      <c r="AZ38" t="s">
        <v>393</v>
      </c>
      <c r="BA38" t="s">
        <v>393</v>
      </c>
      <c r="BB38">
        <v>20</v>
      </c>
      <c r="BC38">
        <v>23</v>
      </c>
      <c r="BD38">
        <v>90</v>
      </c>
      <c r="BE38">
        <v>101</v>
      </c>
      <c r="BF38">
        <v>107</v>
      </c>
      <c r="BG38">
        <v>105</v>
      </c>
      <c r="BH38">
        <v>153</v>
      </c>
      <c r="BI38">
        <v>113</v>
      </c>
      <c r="BJ38">
        <v>97</v>
      </c>
      <c r="BK38">
        <v>89</v>
      </c>
      <c r="BL38">
        <v>63</v>
      </c>
      <c r="BM38">
        <v>78</v>
      </c>
      <c r="BN38">
        <v>69</v>
      </c>
      <c r="BO38">
        <v>81</v>
      </c>
      <c r="BP38">
        <v>68</v>
      </c>
      <c r="BQ38">
        <v>93</v>
      </c>
      <c r="BR38">
        <v>76</v>
      </c>
      <c r="BS38">
        <v>71</v>
      </c>
      <c r="BT38">
        <v>82</v>
      </c>
      <c r="BU38">
        <v>54</v>
      </c>
      <c r="BV38">
        <v>48</v>
      </c>
      <c r="BW38">
        <v>42</v>
      </c>
      <c r="BX38">
        <v>43</v>
      </c>
      <c r="BY38">
        <v>56</v>
      </c>
      <c r="BZ38">
        <v>39</v>
      </c>
      <c r="CA38">
        <v>48</v>
      </c>
      <c r="CB38">
        <v>110</v>
      </c>
      <c r="CC38">
        <v>87</v>
      </c>
      <c r="CD38">
        <v>1032</v>
      </c>
      <c r="CE38">
        <v>945</v>
      </c>
      <c r="CF38">
        <v>31</v>
      </c>
      <c r="CG38">
        <v>94</v>
      </c>
      <c r="CH38">
        <v>2278</v>
      </c>
      <c r="CI38">
        <v>561</v>
      </c>
      <c r="CJ38">
        <v>8966</v>
      </c>
      <c r="CK38">
        <v>1817</v>
      </c>
      <c r="CL38">
        <v>245</v>
      </c>
      <c r="CM38">
        <v>561</v>
      </c>
      <c r="CN38">
        <v>519</v>
      </c>
      <c r="CO38">
        <v>641</v>
      </c>
      <c r="CP38">
        <v>412</v>
      </c>
      <c r="CQ38">
        <v>461</v>
      </c>
      <c r="CR38">
        <v>2142</v>
      </c>
      <c r="CS38">
        <v>4232</v>
      </c>
      <c r="CT38">
        <v>911</v>
      </c>
      <c r="CU38">
        <v>317</v>
      </c>
      <c r="CV38">
        <v>102</v>
      </c>
      <c r="CW38">
        <v>219</v>
      </c>
      <c r="CX38">
        <v>21</v>
      </c>
      <c r="CY38">
        <v>1883</v>
      </c>
      <c r="CZ38">
        <v>696</v>
      </c>
      <c r="DA38">
        <v>14</v>
      </c>
      <c r="DB38">
        <v>245</v>
      </c>
      <c r="DC38">
        <v>1</v>
      </c>
      <c r="DD38">
        <v>999</v>
      </c>
      <c r="DE38">
        <v>906</v>
      </c>
      <c r="DF38">
        <v>944</v>
      </c>
      <c r="DG38">
        <v>2694</v>
      </c>
      <c r="DH38">
        <v>0</v>
      </c>
      <c r="DI38">
        <v>5240</v>
      </c>
      <c r="DJ38">
        <v>0</v>
      </c>
      <c r="DK38">
        <v>0</v>
      </c>
      <c r="DL38">
        <v>0</v>
      </c>
      <c r="DM38">
        <v>81</v>
      </c>
      <c r="DN38">
        <v>6</v>
      </c>
      <c r="DO38">
        <v>3</v>
      </c>
      <c r="DP38">
        <v>2</v>
      </c>
      <c r="DQ38">
        <v>0</v>
      </c>
      <c r="DR38">
        <v>1</v>
      </c>
      <c r="DS38">
        <v>0</v>
      </c>
      <c r="DT38">
        <v>0</v>
      </c>
      <c r="DU38">
        <v>0</v>
      </c>
      <c r="DV38">
        <v>435</v>
      </c>
      <c r="DW38">
        <v>433</v>
      </c>
      <c r="DX38">
        <v>493</v>
      </c>
      <c r="DY38">
        <v>492</v>
      </c>
      <c r="DZ38">
        <v>239</v>
      </c>
      <c r="EA38">
        <v>186</v>
      </c>
      <c r="EB38">
        <v>106</v>
      </c>
      <c r="EC38">
        <v>95</v>
      </c>
      <c r="ED38">
        <v>79</v>
      </c>
      <c r="EE38">
        <v>75</v>
      </c>
      <c r="EF38">
        <v>161</v>
      </c>
      <c r="EG38">
        <v>206</v>
      </c>
      <c r="EH38">
        <v>56</v>
      </c>
      <c r="EI38">
        <v>52</v>
      </c>
      <c r="EJ38">
        <v>559</v>
      </c>
      <c r="EK38">
        <v>636</v>
      </c>
      <c r="EL38">
        <v>272</v>
      </c>
      <c r="EM38">
        <v>127</v>
      </c>
      <c r="EN38">
        <v>109</v>
      </c>
      <c r="EO38">
        <v>240</v>
      </c>
      <c r="EP38">
        <v>69</v>
      </c>
      <c r="EQ38">
        <v>3123</v>
      </c>
      <c r="ER38">
        <v>2999</v>
      </c>
      <c r="ES38">
        <v>124</v>
      </c>
      <c r="ET38">
        <v>1038</v>
      </c>
      <c r="EU38">
        <v>1785</v>
      </c>
      <c r="EV38">
        <v>1759</v>
      </c>
      <c r="EW38">
        <v>26</v>
      </c>
      <c r="EX38">
        <v>2418</v>
      </c>
      <c r="EY38" s="26">
        <v>26.868905999999999</v>
      </c>
      <c r="EZ38" s="26">
        <v>23.266522000000002</v>
      </c>
      <c r="FA38" s="26">
        <v>15.086674</v>
      </c>
      <c r="FB38" s="26">
        <v>34.182015</v>
      </c>
      <c r="FC38" s="26">
        <v>0.59588300000000005</v>
      </c>
      <c r="FD38">
        <v>525</v>
      </c>
      <c r="FE38">
        <v>1503</v>
      </c>
      <c r="FF38">
        <v>146</v>
      </c>
      <c r="FG38">
        <v>1182</v>
      </c>
      <c r="FH38">
        <v>1</v>
      </c>
      <c r="FI38">
        <v>943</v>
      </c>
      <c r="FJ38">
        <v>607</v>
      </c>
      <c r="FK38" s="26" t="s">
        <v>359</v>
      </c>
      <c r="FL38" s="26" t="s">
        <v>359</v>
      </c>
      <c r="FM38" s="26" t="s">
        <v>359</v>
      </c>
      <c r="FN38" s="26" t="s">
        <v>359</v>
      </c>
      <c r="FO38" s="28">
        <v>3295</v>
      </c>
      <c r="FP38" s="28">
        <v>2076</v>
      </c>
      <c r="FQ38">
        <v>941</v>
      </c>
      <c r="FR38">
        <v>197</v>
      </c>
      <c r="FS38">
        <v>43</v>
      </c>
      <c r="FT38">
        <v>41</v>
      </c>
      <c r="FU38">
        <v>1917</v>
      </c>
      <c r="FV38">
        <v>70</v>
      </c>
      <c r="FW38">
        <v>58</v>
      </c>
      <c r="FX38">
        <v>0</v>
      </c>
      <c r="FY38">
        <v>3507</v>
      </c>
      <c r="FZ38">
        <v>1903</v>
      </c>
      <c r="GA38">
        <v>888</v>
      </c>
      <c r="GB38">
        <v>211</v>
      </c>
      <c r="GC38">
        <v>42</v>
      </c>
      <c r="GD38">
        <v>37</v>
      </c>
      <c r="GE38">
        <v>2210</v>
      </c>
      <c r="GF38">
        <v>52</v>
      </c>
      <c r="GG38">
        <v>53</v>
      </c>
      <c r="GH38">
        <v>2</v>
      </c>
      <c r="GI38">
        <v>243</v>
      </c>
      <c r="GJ38">
        <v>364</v>
      </c>
      <c r="GK38">
        <v>340</v>
      </c>
      <c r="GL38">
        <v>331</v>
      </c>
      <c r="GM38">
        <v>230</v>
      </c>
      <c r="GN38">
        <v>198</v>
      </c>
      <c r="GO38">
        <v>219</v>
      </c>
      <c r="GP38">
        <v>236</v>
      </c>
      <c r="GQ38">
        <v>198</v>
      </c>
      <c r="GR38">
        <v>188</v>
      </c>
      <c r="GS38">
        <v>160</v>
      </c>
      <c r="GT38">
        <v>132</v>
      </c>
      <c r="GU38">
        <v>139</v>
      </c>
      <c r="GV38">
        <v>108</v>
      </c>
      <c r="GW38">
        <v>73</v>
      </c>
      <c r="GX38">
        <v>53</v>
      </c>
      <c r="GY38">
        <v>41</v>
      </c>
      <c r="GZ38">
        <v>42</v>
      </c>
      <c r="HA38">
        <v>241</v>
      </c>
      <c r="HB38">
        <v>354</v>
      </c>
      <c r="HC38">
        <v>346</v>
      </c>
      <c r="HD38">
        <v>281</v>
      </c>
      <c r="HE38">
        <v>260</v>
      </c>
      <c r="HF38">
        <v>284</v>
      </c>
      <c r="HG38">
        <v>266</v>
      </c>
      <c r="HH38">
        <v>281</v>
      </c>
      <c r="HI38">
        <v>244</v>
      </c>
      <c r="HJ38">
        <v>212</v>
      </c>
      <c r="HK38">
        <v>169</v>
      </c>
      <c r="HL38">
        <v>171</v>
      </c>
      <c r="HM38">
        <v>136</v>
      </c>
      <c r="HN38">
        <v>99</v>
      </c>
      <c r="HO38">
        <v>71</v>
      </c>
      <c r="HP38">
        <v>43</v>
      </c>
      <c r="HQ38">
        <v>34</v>
      </c>
      <c r="HR38">
        <v>15</v>
      </c>
      <c r="HS38">
        <v>2476</v>
      </c>
      <c r="HT38">
        <v>0</v>
      </c>
      <c r="HU38">
        <v>0</v>
      </c>
      <c r="HV38">
        <v>0</v>
      </c>
      <c r="HW38">
        <v>4</v>
      </c>
      <c r="HX38">
        <v>0</v>
      </c>
      <c r="HY38">
        <v>0</v>
      </c>
      <c r="HZ38">
        <v>1</v>
      </c>
      <c r="IA38">
        <v>244</v>
      </c>
      <c r="IB38">
        <v>560</v>
      </c>
      <c r="IC38">
        <v>518</v>
      </c>
      <c r="ID38">
        <v>640</v>
      </c>
      <c r="IE38">
        <v>412</v>
      </c>
      <c r="IF38">
        <v>222</v>
      </c>
      <c r="IG38">
        <v>126</v>
      </c>
      <c r="IH38">
        <v>56</v>
      </c>
      <c r="II38">
        <v>57</v>
      </c>
      <c r="IJ38">
        <v>439</v>
      </c>
      <c r="IK38">
        <v>704</v>
      </c>
      <c r="IL38">
        <v>862</v>
      </c>
      <c r="IM38">
        <v>524</v>
      </c>
      <c r="IN38">
        <v>221</v>
      </c>
      <c r="IO38">
        <v>58</v>
      </c>
      <c r="IP38">
        <v>21</v>
      </c>
      <c r="IQ38">
        <v>5</v>
      </c>
      <c r="IR38">
        <v>1</v>
      </c>
      <c r="IS38">
        <v>1363</v>
      </c>
      <c r="IT38">
        <v>1023</v>
      </c>
      <c r="IU38">
        <v>364</v>
      </c>
      <c r="IV38">
        <v>63</v>
      </c>
      <c r="IW38">
        <v>22</v>
      </c>
      <c r="IX38">
        <v>1359</v>
      </c>
      <c r="IY38">
        <v>990</v>
      </c>
      <c r="IZ38">
        <v>0</v>
      </c>
      <c r="JA38">
        <v>11</v>
      </c>
      <c r="JB38">
        <v>139</v>
      </c>
      <c r="JC38">
        <v>92</v>
      </c>
      <c r="JD38">
        <v>2726</v>
      </c>
      <c r="JE38">
        <v>109</v>
      </c>
      <c r="JF38">
        <v>0</v>
      </c>
      <c r="JH38" s="28">
        <v>0</v>
      </c>
      <c r="JI38" s="28">
        <v>0</v>
      </c>
      <c r="JJ38">
        <v>252</v>
      </c>
      <c r="JK38">
        <v>2452</v>
      </c>
      <c r="JL38">
        <v>131</v>
      </c>
      <c r="JM38">
        <v>0</v>
      </c>
      <c r="JN38">
        <v>2245</v>
      </c>
      <c r="JO38">
        <v>1517</v>
      </c>
      <c r="JP38">
        <v>469</v>
      </c>
      <c r="JQ38">
        <v>1750</v>
      </c>
      <c r="JR38">
        <v>2496</v>
      </c>
      <c r="JS38">
        <v>331</v>
      </c>
      <c r="JT38">
        <v>129</v>
      </c>
      <c r="JU38">
        <v>2281</v>
      </c>
      <c r="JV38">
        <v>520</v>
      </c>
      <c r="JW38" s="28"/>
      <c r="JX38" s="28"/>
      <c r="JY38" s="28"/>
      <c r="JZ38" s="28"/>
      <c r="KA38" s="28">
        <v>2797.9999897500002</v>
      </c>
      <c r="KB38">
        <v>9486</v>
      </c>
      <c r="KC38">
        <v>0</v>
      </c>
      <c r="KD38">
        <v>0</v>
      </c>
      <c r="KE38">
        <v>0</v>
      </c>
      <c r="KF38">
        <v>10</v>
      </c>
      <c r="KG38">
        <v>0</v>
      </c>
      <c r="KH38">
        <v>0</v>
      </c>
      <c r="KI38">
        <v>6</v>
      </c>
      <c r="KJ38">
        <v>956</v>
      </c>
      <c r="KK38">
        <v>9360</v>
      </c>
      <c r="KL38">
        <v>457</v>
      </c>
      <c r="KM38">
        <v>0</v>
      </c>
      <c r="KT38">
        <v>1542</v>
      </c>
      <c r="KU38">
        <v>1498</v>
      </c>
      <c r="KV38">
        <v>1194</v>
      </c>
      <c r="KW38">
        <v>224</v>
      </c>
      <c r="KX38">
        <v>87</v>
      </c>
      <c r="KZ38">
        <v>1179</v>
      </c>
      <c r="LA38">
        <v>183</v>
      </c>
      <c r="LB38">
        <v>79</v>
      </c>
      <c r="LD38">
        <v>845</v>
      </c>
      <c r="LE38">
        <v>842</v>
      </c>
      <c r="LF38">
        <v>426</v>
      </c>
      <c r="LG38">
        <v>598</v>
      </c>
      <c r="LH38">
        <v>7800</v>
      </c>
      <c r="LI38">
        <v>6</v>
      </c>
      <c r="LJ38">
        <v>571</v>
      </c>
      <c r="LK38">
        <v>119</v>
      </c>
      <c r="LL38">
        <v>818</v>
      </c>
      <c r="LM38">
        <v>0</v>
      </c>
      <c r="LN38">
        <v>577</v>
      </c>
      <c r="LO38">
        <v>298</v>
      </c>
      <c r="LP38">
        <v>6</v>
      </c>
      <c r="LQ38">
        <v>579</v>
      </c>
      <c r="LR38">
        <v>96</v>
      </c>
      <c r="LS38">
        <v>964</v>
      </c>
      <c r="LT38">
        <v>1</v>
      </c>
      <c r="LU38">
        <v>538</v>
      </c>
      <c r="LV38">
        <v>237</v>
      </c>
      <c r="LW38" s="44"/>
      <c r="LX38" s="44"/>
      <c r="LY38" s="44"/>
      <c r="LZ38">
        <v>2835</v>
      </c>
      <c r="MA38">
        <v>10773</v>
      </c>
      <c r="MB38" t="s">
        <v>359</v>
      </c>
      <c r="MC38" t="s">
        <v>359</v>
      </c>
      <c r="MD38" s="26">
        <v>13.128204999999999</v>
      </c>
      <c r="ME38" s="26">
        <v>5.7381319999999993</v>
      </c>
      <c r="MF38" s="26">
        <v>47.307691999999996</v>
      </c>
      <c r="MG38" s="26">
        <v>36.900677000000002</v>
      </c>
      <c r="MH38" s="26">
        <v>8.8888889999999989</v>
      </c>
      <c r="MI38" s="26">
        <v>3.6331569999999997</v>
      </c>
      <c r="MJ38" s="26">
        <v>7.6895939999999996</v>
      </c>
      <c r="MK38" s="26">
        <v>3.8447969999999998</v>
      </c>
      <c r="ML38" s="26">
        <v>1.305115</v>
      </c>
      <c r="MM38" s="26">
        <v>46.490299999999998</v>
      </c>
      <c r="MN38" s="26">
        <v>20.811287</v>
      </c>
      <c r="MO38" s="26">
        <v>-7.1233999999999992E-2</v>
      </c>
      <c r="MP38" t="s">
        <v>1027</v>
      </c>
      <c r="MQ38">
        <v>1090</v>
      </c>
      <c r="MR38">
        <v>101</v>
      </c>
    </row>
    <row r="39" spans="1:356">
      <c r="A39" t="s">
        <v>101</v>
      </c>
      <c r="B39" t="s">
        <v>102</v>
      </c>
      <c r="C39">
        <v>28064</v>
      </c>
      <c r="D39">
        <v>30068</v>
      </c>
      <c r="E39">
        <v>30896</v>
      </c>
      <c r="F39">
        <f t="shared" si="2"/>
        <v>828</v>
      </c>
      <c r="G39" s="26">
        <f t="shared" si="3"/>
        <v>2.75375814819742</v>
      </c>
      <c r="H39">
        <v>15214</v>
      </c>
      <c r="I39">
        <v>15682</v>
      </c>
      <c r="J39">
        <v>10624</v>
      </c>
      <c r="K39">
        <v>20272</v>
      </c>
      <c r="L39">
        <v>1668</v>
      </c>
      <c r="M39">
        <v>1713</v>
      </c>
      <c r="N39">
        <v>1672</v>
      </c>
      <c r="O39">
        <v>1458</v>
      </c>
      <c r="P39">
        <v>1071</v>
      </c>
      <c r="Q39">
        <v>968</v>
      </c>
      <c r="R39">
        <v>960</v>
      </c>
      <c r="S39">
        <v>897</v>
      </c>
      <c r="T39">
        <v>928</v>
      </c>
      <c r="U39">
        <v>762</v>
      </c>
      <c r="V39">
        <v>710</v>
      </c>
      <c r="W39">
        <v>548</v>
      </c>
      <c r="X39">
        <v>532</v>
      </c>
      <c r="Y39">
        <v>1327</v>
      </c>
      <c r="Z39">
        <v>0</v>
      </c>
      <c r="AA39">
        <v>1577</v>
      </c>
      <c r="AB39">
        <v>1656</v>
      </c>
      <c r="AC39">
        <v>1590</v>
      </c>
      <c r="AD39">
        <v>1400</v>
      </c>
      <c r="AE39">
        <v>1227</v>
      </c>
      <c r="AF39">
        <v>1158</v>
      </c>
      <c r="AG39">
        <v>1094</v>
      </c>
      <c r="AH39">
        <v>1107</v>
      </c>
      <c r="AI39">
        <v>907</v>
      </c>
      <c r="AJ39">
        <v>797</v>
      </c>
      <c r="AK39">
        <v>712</v>
      </c>
      <c r="AL39">
        <v>663</v>
      </c>
      <c r="AM39">
        <v>553</v>
      </c>
      <c r="AN39">
        <v>1241</v>
      </c>
      <c r="AO39">
        <v>0</v>
      </c>
      <c r="AP39">
        <v>29644</v>
      </c>
      <c r="AQ39">
        <v>937</v>
      </c>
      <c r="AR39">
        <v>85</v>
      </c>
      <c r="AS39">
        <v>212</v>
      </c>
      <c r="AT39">
        <v>18</v>
      </c>
      <c r="AU39">
        <v>111</v>
      </c>
      <c r="AV39">
        <v>66</v>
      </c>
      <c r="AW39">
        <v>45</v>
      </c>
      <c r="AX39">
        <v>158</v>
      </c>
      <c r="AY39">
        <v>394</v>
      </c>
      <c r="AZ39">
        <v>365</v>
      </c>
      <c r="BA39">
        <v>29</v>
      </c>
      <c r="BB39">
        <v>0</v>
      </c>
      <c r="BC39">
        <v>1</v>
      </c>
      <c r="BD39">
        <v>3</v>
      </c>
      <c r="BE39">
        <v>1</v>
      </c>
      <c r="BF39">
        <v>1</v>
      </c>
      <c r="BG39">
        <v>0</v>
      </c>
      <c r="BH39">
        <v>2</v>
      </c>
      <c r="BI39">
        <v>1</v>
      </c>
      <c r="BJ39">
        <v>3</v>
      </c>
      <c r="BK39">
        <v>4</v>
      </c>
      <c r="BL39">
        <v>3</v>
      </c>
      <c r="BM39">
        <v>4</v>
      </c>
      <c r="BN39">
        <v>6</v>
      </c>
      <c r="BO39">
        <v>8</v>
      </c>
      <c r="BP39">
        <v>8</v>
      </c>
      <c r="BQ39">
        <v>4</v>
      </c>
      <c r="BR39">
        <v>3</v>
      </c>
      <c r="BS39">
        <v>4</v>
      </c>
      <c r="BT39">
        <v>3</v>
      </c>
      <c r="BU39">
        <v>2</v>
      </c>
      <c r="BV39">
        <v>3</v>
      </c>
      <c r="BW39">
        <v>1</v>
      </c>
      <c r="BX39">
        <v>3</v>
      </c>
      <c r="BY39">
        <v>3</v>
      </c>
      <c r="BZ39">
        <v>4</v>
      </c>
      <c r="CA39">
        <v>0</v>
      </c>
      <c r="CB39">
        <v>24</v>
      </c>
      <c r="CC39">
        <v>12</v>
      </c>
      <c r="CD39">
        <v>66</v>
      </c>
      <c r="CE39">
        <v>44</v>
      </c>
      <c r="CF39">
        <v>0</v>
      </c>
      <c r="CG39">
        <v>1</v>
      </c>
      <c r="CH39">
        <v>5130</v>
      </c>
      <c r="CI39">
        <v>2750</v>
      </c>
      <c r="CJ39">
        <v>20987</v>
      </c>
      <c r="CK39">
        <v>9897</v>
      </c>
      <c r="CL39">
        <v>868</v>
      </c>
      <c r="CM39">
        <v>1305</v>
      </c>
      <c r="CN39">
        <v>1502</v>
      </c>
      <c r="CO39">
        <v>1501</v>
      </c>
      <c r="CP39">
        <v>1205</v>
      </c>
      <c r="CQ39">
        <v>1499</v>
      </c>
      <c r="CR39">
        <v>5112</v>
      </c>
      <c r="CS39">
        <v>12744</v>
      </c>
      <c r="CT39">
        <v>2998</v>
      </c>
      <c r="CU39">
        <v>782</v>
      </c>
      <c r="CV39">
        <v>337</v>
      </c>
      <c r="CW39">
        <v>896</v>
      </c>
      <c r="CX39">
        <v>135</v>
      </c>
      <c r="CY39">
        <v>4645</v>
      </c>
      <c r="CZ39">
        <v>2276</v>
      </c>
      <c r="DA39">
        <v>74</v>
      </c>
      <c r="DB39">
        <v>868</v>
      </c>
      <c r="DC39">
        <v>17</v>
      </c>
      <c r="DD39">
        <v>3302</v>
      </c>
      <c r="DE39">
        <v>5878</v>
      </c>
      <c r="DF39">
        <v>2889</v>
      </c>
      <c r="DG39">
        <v>8203</v>
      </c>
      <c r="DH39">
        <v>0</v>
      </c>
      <c r="DI39">
        <v>0</v>
      </c>
      <c r="DJ39">
        <v>10624</v>
      </c>
      <c r="DK39">
        <v>0</v>
      </c>
      <c r="DL39">
        <v>0</v>
      </c>
      <c r="DM39">
        <v>142</v>
      </c>
      <c r="DN39">
        <v>37</v>
      </c>
      <c r="DO39">
        <v>8</v>
      </c>
      <c r="DP39">
        <v>8</v>
      </c>
      <c r="DQ39">
        <v>0</v>
      </c>
      <c r="DR39">
        <v>0</v>
      </c>
      <c r="DS39">
        <v>1</v>
      </c>
      <c r="DT39">
        <v>0</v>
      </c>
      <c r="DU39">
        <v>0</v>
      </c>
      <c r="DV39">
        <v>772</v>
      </c>
      <c r="DW39">
        <v>819</v>
      </c>
      <c r="DX39">
        <v>1187</v>
      </c>
      <c r="DY39">
        <v>1347</v>
      </c>
      <c r="DZ39">
        <v>491</v>
      </c>
      <c r="EA39">
        <v>433</v>
      </c>
      <c r="EB39">
        <v>291</v>
      </c>
      <c r="EC39">
        <v>240</v>
      </c>
      <c r="ED39">
        <v>259</v>
      </c>
      <c r="EE39">
        <v>228</v>
      </c>
      <c r="EF39">
        <v>368</v>
      </c>
      <c r="EG39">
        <v>400</v>
      </c>
      <c r="EH39">
        <v>198</v>
      </c>
      <c r="EI39">
        <v>166</v>
      </c>
      <c r="EJ39">
        <v>1099</v>
      </c>
      <c r="EK39">
        <v>1778</v>
      </c>
      <c r="EL39">
        <v>619</v>
      </c>
      <c r="EM39">
        <v>330</v>
      </c>
      <c r="EN39">
        <v>304</v>
      </c>
      <c r="EO39">
        <v>535</v>
      </c>
      <c r="EP39">
        <v>232</v>
      </c>
      <c r="EQ39">
        <v>8711</v>
      </c>
      <c r="ER39">
        <v>8634</v>
      </c>
      <c r="ES39">
        <v>77</v>
      </c>
      <c r="ET39">
        <v>2404</v>
      </c>
      <c r="EU39">
        <v>4714</v>
      </c>
      <c r="EV39">
        <v>4691</v>
      </c>
      <c r="EW39">
        <v>23</v>
      </c>
      <c r="EX39">
        <v>7027</v>
      </c>
      <c r="EY39" s="26">
        <v>39.086731999999998</v>
      </c>
      <c r="EZ39" s="26">
        <v>10.846257</v>
      </c>
      <c r="FA39" s="26">
        <v>17.547387000000001</v>
      </c>
      <c r="FB39" s="26">
        <v>32.462186000000003</v>
      </c>
      <c r="FC39" s="26">
        <v>5.7438000000000003E-2</v>
      </c>
      <c r="FD39">
        <v>1313</v>
      </c>
      <c r="FE39">
        <v>4492</v>
      </c>
      <c r="FF39">
        <v>526</v>
      </c>
      <c r="FG39">
        <v>2883</v>
      </c>
      <c r="FH39">
        <v>9</v>
      </c>
      <c r="FI39">
        <v>2625</v>
      </c>
      <c r="FJ39">
        <v>1574</v>
      </c>
      <c r="FK39" s="26" t="s">
        <v>359</v>
      </c>
      <c r="FL39" s="26" t="s">
        <v>359</v>
      </c>
      <c r="FM39" s="26" t="s">
        <v>359</v>
      </c>
      <c r="FN39" s="26" t="s">
        <v>359</v>
      </c>
      <c r="FO39" s="28">
        <v>10021</v>
      </c>
      <c r="FP39" s="28">
        <v>5181</v>
      </c>
      <c r="FQ39">
        <v>1634</v>
      </c>
      <c r="FR39">
        <v>473</v>
      </c>
      <c r="FS39">
        <v>101</v>
      </c>
      <c r="FT39">
        <v>43</v>
      </c>
      <c r="FU39">
        <v>6936</v>
      </c>
      <c r="FV39">
        <v>25</v>
      </c>
      <c r="FW39">
        <v>140</v>
      </c>
      <c r="FX39">
        <v>12</v>
      </c>
      <c r="FY39">
        <v>11010</v>
      </c>
      <c r="FZ39">
        <v>4664</v>
      </c>
      <c r="GA39">
        <v>1780</v>
      </c>
      <c r="GB39">
        <v>570</v>
      </c>
      <c r="GC39">
        <v>134</v>
      </c>
      <c r="GD39">
        <v>44</v>
      </c>
      <c r="GE39">
        <v>7669</v>
      </c>
      <c r="GF39">
        <v>15</v>
      </c>
      <c r="GG39">
        <v>142</v>
      </c>
      <c r="GH39">
        <v>8</v>
      </c>
      <c r="GI39">
        <v>1047</v>
      </c>
      <c r="GJ39">
        <v>1251</v>
      </c>
      <c r="GK39">
        <v>1228</v>
      </c>
      <c r="GL39">
        <v>990</v>
      </c>
      <c r="GM39">
        <v>630</v>
      </c>
      <c r="GN39">
        <v>565</v>
      </c>
      <c r="GO39">
        <v>577</v>
      </c>
      <c r="GP39">
        <v>557</v>
      </c>
      <c r="GQ39">
        <v>618</v>
      </c>
      <c r="GR39">
        <v>499</v>
      </c>
      <c r="GS39">
        <v>465</v>
      </c>
      <c r="GT39">
        <v>355</v>
      </c>
      <c r="GU39">
        <v>326</v>
      </c>
      <c r="GV39">
        <v>303</v>
      </c>
      <c r="GW39">
        <v>218</v>
      </c>
      <c r="GX39">
        <v>197</v>
      </c>
      <c r="GY39">
        <v>95</v>
      </c>
      <c r="GZ39">
        <v>100</v>
      </c>
      <c r="HA39">
        <v>994</v>
      </c>
      <c r="HB39">
        <v>1201</v>
      </c>
      <c r="HC39">
        <v>1145</v>
      </c>
      <c r="HD39">
        <v>986</v>
      </c>
      <c r="HE39">
        <v>792</v>
      </c>
      <c r="HF39">
        <v>798</v>
      </c>
      <c r="HG39">
        <v>755</v>
      </c>
      <c r="HH39">
        <v>803</v>
      </c>
      <c r="HI39">
        <v>676</v>
      </c>
      <c r="HJ39">
        <v>570</v>
      </c>
      <c r="HK39">
        <v>517</v>
      </c>
      <c r="HL39">
        <v>475</v>
      </c>
      <c r="HM39">
        <v>393</v>
      </c>
      <c r="HN39">
        <v>301</v>
      </c>
      <c r="HO39">
        <v>222</v>
      </c>
      <c r="HP39">
        <v>174</v>
      </c>
      <c r="HQ39">
        <v>108</v>
      </c>
      <c r="HR39">
        <v>100</v>
      </c>
      <c r="HS39">
        <v>6717</v>
      </c>
      <c r="HT39">
        <v>4</v>
      </c>
      <c r="HU39">
        <v>36</v>
      </c>
      <c r="HV39">
        <v>0</v>
      </c>
      <c r="HW39">
        <v>8</v>
      </c>
      <c r="HX39">
        <v>0</v>
      </c>
      <c r="HY39">
        <v>2</v>
      </c>
      <c r="HZ39">
        <v>0</v>
      </c>
      <c r="IA39">
        <v>867</v>
      </c>
      <c r="IB39">
        <v>1304</v>
      </c>
      <c r="IC39">
        <v>1498</v>
      </c>
      <c r="ID39">
        <v>1501</v>
      </c>
      <c r="IE39">
        <v>1205</v>
      </c>
      <c r="IF39">
        <v>664</v>
      </c>
      <c r="IG39">
        <v>380</v>
      </c>
      <c r="IH39">
        <v>196</v>
      </c>
      <c r="II39">
        <v>255</v>
      </c>
      <c r="IJ39">
        <v>1056</v>
      </c>
      <c r="IK39">
        <v>2203</v>
      </c>
      <c r="IL39">
        <v>2481</v>
      </c>
      <c r="IM39">
        <v>1352</v>
      </c>
      <c r="IN39">
        <v>527</v>
      </c>
      <c r="IO39">
        <v>170</v>
      </c>
      <c r="IP39">
        <v>54</v>
      </c>
      <c r="IQ39">
        <v>17</v>
      </c>
      <c r="IR39">
        <v>9</v>
      </c>
      <c r="IS39">
        <v>3588</v>
      </c>
      <c r="IT39">
        <v>3051</v>
      </c>
      <c r="IU39">
        <v>955</v>
      </c>
      <c r="IV39">
        <v>236</v>
      </c>
      <c r="IW39">
        <v>39</v>
      </c>
      <c r="IX39">
        <v>4823</v>
      </c>
      <c r="IY39">
        <v>1042</v>
      </c>
      <c r="IZ39">
        <v>3</v>
      </c>
      <c r="JA39">
        <v>140</v>
      </c>
      <c r="JB39">
        <v>8</v>
      </c>
      <c r="JC39">
        <v>716</v>
      </c>
      <c r="JD39">
        <v>7507</v>
      </c>
      <c r="JE39">
        <v>363</v>
      </c>
      <c r="JF39">
        <v>0</v>
      </c>
      <c r="JH39" s="28">
        <v>6296.0733805791424</v>
      </c>
      <c r="JI39" s="28">
        <v>516.41156406386278</v>
      </c>
      <c r="JJ39">
        <v>628</v>
      </c>
      <c r="JK39">
        <v>6598</v>
      </c>
      <c r="JL39">
        <v>643</v>
      </c>
      <c r="JM39">
        <v>1</v>
      </c>
      <c r="JN39">
        <v>5731</v>
      </c>
      <c r="JO39">
        <v>3399</v>
      </c>
      <c r="JP39">
        <v>1204</v>
      </c>
      <c r="JQ39">
        <v>4438</v>
      </c>
      <c r="JR39">
        <v>5866</v>
      </c>
      <c r="JS39">
        <v>793</v>
      </c>
      <c r="JT39">
        <v>761</v>
      </c>
      <c r="JU39">
        <v>5377</v>
      </c>
      <c r="JV39">
        <v>1279</v>
      </c>
      <c r="JW39" s="28"/>
      <c r="JX39" s="28"/>
      <c r="JY39" s="28"/>
      <c r="JZ39" s="28"/>
      <c r="KA39" s="28">
        <v>7678.0000172</v>
      </c>
      <c r="KB39">
        <v>26783</v>
      </c>
      <c r="KC39">
        <v>15</v>
      </c>
      <c r="KD39">
        <v>101</v>
      </c>
      <c r="KE39">
        <v>0</v>
      </c>
      <c r="KF39">
        <v>31</v>
      </c>
      <c r="KG39">
        <v>0</v>
      </c>
      <c r="KH39">
        <v>9</v>
      </c>
      <c r="KI39">
        <v>0</v>
      </c>
      <c r="KJ39">
        <v>2536</v>
      </c>
      <c r="KK39">
        <v>26014</v>
      </c>
      <c r="KL39">
        <v>2289</v>
      </c>
      <c r="KM39">
        <v>5</v>
      </c>
      <c r="KT39">
        <v>4479</v>
      </c>
      <c r="KU39">
        <v>4394</v>
      </c>
      <c r="KV39">
        <v>3693</v>
      </c>
      <c r="KW39">
        <v>509</v>
      </c>
      <c r="KX39">
        <v>129</v>
      </c>
      <c r="KZ39">
        <v>3523</v>
      </c>
      <c r="LA39">
        <v>542</v>
      </c>
      <c r="LB39">
        <v>174</v>
      </c>
      <c r="LD39">
        <v>2556</v>
      </c>
      <c r="LE39">
        <v>2496</v>
      </c>
      <c r="LF39">
        <v>1010</v>
      </c>
      <c r="LG39">
        <v>1506</v>
      </c>
      <c r="LH39">
        <v>21020</v>
      </c>
      <c r="LI39">
        <v>34</v>
      </c>
      <c r="LJ39">
        <v>1691</v>
      </c>
      <c r="LK39">
        <v>280</v>
      </c>
      <c r="LL39">
        <v>2085</v>
      </c>
      <c r="LM39">
        <v>4</v>
      </c>
      <c r="LN39">
        <v>1518</v>
      </c>
      <c r="LO39">
        <v>698</v>
      </c>
      <c r="LP39">
        <v>35</v>
      </c>
      <c r="LQ39">
        <v>1671</v>
      </c>
      <c r="LR39">
        <v>321</v>
      </c>
      <c r="LS39">
        <v>2467</v>
      </c>
      <c r="LT39">
        <v>5</v>
      </c>
      <c r="LU39">
        <v>1554</v>
      </c>
      <c r="LV39">
        <v>671</v>
      </c>
      <c r="LW39" s="44"/>
      <c r="LX39" s="44"/>
      <c r="LY39" s="44"/>
      <c r="LZ39">
        <v>7870</v>
      </c>
      <c r="MA39">
        <v>30844</v>
      </c>
      <c r="MB39">
        <v>31822</v>
      </c>
      <c r="MC39">
        <v>120</v>
      </c>
      <c r="MD39" s="26">
        <v>11.969552999999999</v>
      </c>
      <c r="ME39" s="26">
        <v>8.358509999999999</v>
      </c>
      <c r="MF39" s="26">
        <v>48.097049999999996</v>
      </c>
      <c r="MG39" s="26">
        <v>31.864965999999999</v>
      </c>
      <c r="MH39" s="26">
        <v>7.9796699999999996</v>
      </c>
      <c r="MI39" s="26">
        <v>3.3799239999999999</v>
      </c>
      <c r="MJ39" s="26">
        <v>8.9961880000000001</v>
      </c>
      <c r="MK39" s="26">
        <v>4.6124520000000002</v>
      </c>
      <c r="ML39" s="26">
        <v>2.4396439999999999</v>
      </c>
      <c r="MM39" s="26">
        <v>56.810672999999994</v>
      </c>
      <c r="MN39" s="26">
        <v>27.179160999999997</v>
      </c>
      <c r="MO39" s="26">
        <v>0.15151299999999998</v>
      </c>
      <c r="MP39" t="s">
        <v>1029</v>
      </c>
      <c r="MQ39">
        <v>877</v>
      </c>
      <c r="MR39">
        <v>81</v>
      </c>
    </row>
    <row r="40" spans="1:356">
      <c r="A40" t="s">
        <v>103</v>
      </c>
      <c r="B40" t="s">
        <v>104</v>
      </c>
      <c r="C40">
        <v>5236</v>
      </c>
      <c r="D40">
        <v>7000</v>
      </c>
      <c r="E40">
        <v>7245</v>
      </c>
      <c r="F40">
        <f t="shared" si="2"/>
        <v>245</v>
      </c>
      <c r="G40" s="26">
        <f t="shared" si="3"/>
        <v>3.4999999999999858</v>
      </c>
      <c r="H40">
        <v>3673</v>
      </c>
      <c r="I40">
        <v>3572</v>
      </c>
      <c r="J40">
        <v>0</v>
      </c>
      <c r="K40">
        <v>7245</v>
      </c>
      <c r="L40">
        <v>429</v>
      </c>
      <c r="M40">
        <v>456</v>
      </c>
      <c r="N40">
        <v>414</v>
      </c>
      <c r="O40">
        <v>390</v>
      </c>
      <c r="P40">
        <v>325</v>
      </c>
      <c r="Q40">
        <v>249</v>
      </c>
      <c r="R40">
        <v>251</v>
      </c>
      <c r="S40">
        <v>215</v>
      </c>
      <c r="T40">
        <v>194</v>
      </c>
      <c r="U40">
        <v>193</v>
      </c>
      <c r="V40">
        <v>137</v>
      </c>
      <c r="W40">
        <v>112</v>
      </c>
      <c r="X40">
        <v>85</v>
      </c>
      <c r="Y40">
        <v>223</v>
      </c>
      <c r="Z40">
        <v>0</v>
      </c>
      <c r="AA40">
        <v>378</v>
      </c>
      <c r="AB40">
        <v>413</v>
      </c>
      <c r="AC40">
        <v>439</v>
      </c>
      <c r="AD40">
        <v>391</v>
      </c>
      <c r="AE40">
        <v>353</v>
      </c>
      <c r="AF40">
        <v>276</v>
      </c>
      <c r="AG40">
        <v>278</v>
      </c>
      <c r="AH40">
        <v>205</v>
      </c>
      <c r="AI40">
        <v>202</v>
      </c>
      <c r="AJ40">
        <v>155</v>
      </c>
      <c r="AK40">
        <v>130</v>
      </c>
      <c r="AL40">
        <v>106</v>
      </c>
      <c r="AM40">
        <v>81</v>
      </c>
      <c r="AN40">
        <v>165</v>
      </c>
      <c r="AO40">
        <v>0</v>
      </c>
      <c r="AP40">
        <v>7200</v>
      </c>
      <c r="AQ40">
        <v>44</v>
      </c>
      <c r="AR40">
        <v>0</v>
      </c>
      <c r="AS40">
        <v>0</v>
      </c>
      <c r="AT40">
        <v>1</v>
      </c>
      <c r="AU40">
        <v>4650</v>
      </c>
      <c r="AV40">
        <v>2358</v>
      </c>
      <c r="AW40">
        <v>2292</v>
      </c>
      <c r="AX40">
        <v>3367</v>
      </c>
      <c r="AY40">
        <v>4846</v>
      </c>
      <c r="AZ40">
        <v>4846</v>
      </c>
      <c r="BA40">
        <v>0</v>
      </c>
      <c r="BB40">
        <v>76</v>
      </c>
      <c r="BC40">
        <v>72</v>
      </c>
      <c r="BD40">
        <v>253</v>
      </c>
      <c r="BE40">
        <v>199</v>
      </c>
      <c r="BF40">
        <v>248</v>
      </c>
      <c r="BG40">
        <v>272</v>
      </c>
      <c r="BH40">
        <v>267</v>
      </c>
      <c r="BI40">
        <v>266</v>
      </c>
      <c r="BJ40">
        <v>233</v>
      </c>
      <c r="BK40">
        <v>251</v>
      </c>
      <c r="BL40">
        <v>182</v>
      </c>
      <c r="BM40">
        <v>194</v>
      </c>
      <c r="BN40">
        <v>187</v>
      </c>
      <c r="BO40">
        <v>205</v>
      </c>
      <c r="BP40">
        <v>165</v>
      </c>
      <c r="BQ40">
        <v>151</v>
      </c>
      <c r="BR40">
        <v>144</v>
      </c>
      <c r="BS40">
        <v>160</v>
      </c>
      <c r="BT40">
        <v>144</v>
      </c>
      <c r="BU40">
        <v>122</v>
      </c>
      <c r="BV40">
        <v>108</v>
      </c>
      <c r="BW40">
        <v>103</v>
      </c>
      <c r="BX40">
        <v>92</v>
      </c>
      <c r="BY40">
        <v>90</v>
      </c>
      <c r="BZ40">
        <v>67</v>
      </c>
      <c r="CA40">
        <v>69</v>
      </c>
      <c r="CB40">
        <v>192</v>
      </c>
      <c r="CC40">
        <v>138</v>
      </c>
      <c r="CD40">
        <v>2335</v>
      </c>
      <c r="CE40">
        <v>2233</v>
      </c>
      <c r="CF40">
        <v>21</v>
      </c>
      <c r="CG40">
        <v>52</v>
      </c>
      <c r="CH40">
        <v>1356</v>
      </c>
      <c r="CI40">
        <v>155</v>
      </c>
      <c r="CJ40">
        <v>6615</v>
      </c>
      <c r="CK40">
        <v>630</v>
      </c>
      <c r="CL40">
        <v>73</v>
      </c>
      <c r="CM40">
        <v>147</v>
      </c>
      <c r="CN40">
        <v>236</v>
      </c>
      <c r="CO40">
        <v>307</v>
      </c>
      <c r="CP40">
        <v>242</v>
      </c>
      <c r="CQ40">
        <v>506</v>
      </c>
      <c r="CR40">
        <v>1277</v>
      </c>
      <c r="CS40">
        <v>3720</v>
      </c>
      <c r="CT40">
        <v>388</v>
      </c>
      <c r="CU40">
        <v>155</v>
      </c>
      <c r="CV40">
        <v>80</v>
      </c>
      <c r="CW40">
        <v>112</v>
      </c>
      <c r="CX40">
        <v>2</v>
      </c>
      <c r="CY40">
        <v>1085</v>
      </c>
      <c r="CZ40">
        <v>351</v>
      </c>
      <c r="DA40">
        <v>1</v>
      </c>
      <c r="DB40">
        <v>73</v>
      </c>
      <c r="DC40">
        <v>1</v>
      </c>
      <c r="DD40">
        <v>896</v>
      </c>
      <c r="DE40">
        <v>1487</v>
      </c>
      <c r="DF40">
        <v>1054</v>
      </c>
      <c r="DG40">
        <v>3808</v>
      </c>
      <c r="DH40">
        <v>0</v>
      </c>
      <c r="DI40">
        <v>0</v>
      </c>
      <c r="DJ40">
        <v>0</v>
      </c>
      <c r="DK40">
        <v>0</v>
      </c>
      <c r="DL40">
        <v>0</v>
      </c>
      <c r="DM40">
        <v>20</v>
      </c>
      <c r="DN40">
        <v>9</v>
      </c>
      <c r="DO40">
        <v>3</v>
      </c>
      <c r="DP40">
        <v>5</v>
      </c>
      <c r="DQ40">
        <v>0</v>
      </c>
      <c r="DR40">
        <v>0</v>
      </c>
      <c r="DS40">
        <v>0</v>
      </c>
      <c r="DT40">
        <v>0</v>
      </c>
      <c r="DU40">
        <v>0</v>
      </c>
      <c r="DV40">
        <v>220</v>
      </c>
      <c r="DW40">
        <v>200</v>
      </c>
      <c r="DX40">
        <v>293</v>
      </c>
      <c r="DY40">
        <v>246</v>
      </c>
      <c r="DZ40">
        <v>174</v>
      </c>
      <c r="EA40">
        <v>151</v>
      </c>
      <c r="EB40">
        <v>64</v>
      </c>
      <c r="EC40">
        <v>72</v>
      </c>
      <c r="ED40">
        <v>68</v>
      </c>
      <c r="EE40">
        <v>75</v>
      </c>
      <c r="EF40">
        <v>106</v>
      </c>
      <c r="EG40">
        <v>117</v>
      </c>
      <c r="EH40">
        <v>31</v>
      </c>
      <c r="EI40">
        <v>34</v>
      </c>
      <c r="EJ40">
        <v>265</v>
      </c>
      <c r="EK40">
        <v>369</v>
      </c>
      <c r="EL40">
        <v>203</v>
      </c>
      <c r="EM40">
        <v>80</v>
      </c>
      <c r="EN40">
        <v>77</v>
      </c>
      <c r="EO40">
        <v>138</v>
      </c>
      <c r="EP40">
        <v>52</v>
      </c>
      <c r="EQ40">
        <v>1745</v>
      </c>
      <c r="ER40">
        <v>1736</v>
      </c>
      <c r="ES40">
        <v>9</v>
      </c>
      <c r="ET40">
        <v>851</v>
      </c>
      <c r="EU40">
        <v>197</v>
      </c>
      <c r="EV40">
        <v>197</v>
      </c>
      <c r="EW40">
        <v>0</v>
      </c>
      <c r="EX40">
        <v>2402</v>
      </c>
      <c r="EY40" s="26">
        <v>88.212928000000005</v>
      </c>
      <c r="EZ40" s="26">
        <v>3.7389099999999997</v>
      </c>
      <c r="FA40" s="26">
        <v>2.7249680000000001</v>
      </c>
      <c r="FB40" s="26">
        <v>5.1964509999999997</v>
      </c>
      <c r="FC40" s="26">
        <v>0.12674299999999999</v>
      </c>
      <c r="FD40">
        <v>270</v>
      </c>
      <c r="FE40">
        <v>740</v>
      </c>
      <c r="FF40">
        <v>89</v>
      </c>
      <c r="FG40">
        <v>408</v>
      </c>
      <c r="FH40">
        <v>0</v>
      </c>
      <c r="FI40">
        <v>370</v>
      </c>
      <c r="FJ40">
        <v>65</v>
      </c>
      <c r="FK40" s="26" t="s">
        <v>359</v>
      </c>
      <c r="FL40" s="26" t="s">
        <v>359</v>
      </c>
      <c r="FM40" s="26" t="s">
        <v>359</v>
      </c>
      <c r="FN40" s="26" t="s">
        <v>359</v>
      </c>
      <c r="FO40" s="28">
        <v>2605</v>
      </c>
      <c r="FP40" s="28">
        <v>1068</v>
      </c>
      <c r="FQ40">
        <v>24</v>
      </c>
      <c r="FR40">
        <v>10</v>
      </c>
      <c r="FS40">
        <v>3</v>
      </c>
      <c r="FT40">
        <v>7</v>
      </c>
      <c r="FU40">
        <v>2517</v>
      </c>
      <c r="FV40">
        <v>7</v>
      </c>
      <c r="FW40">
        <v>40</v>
      </c>
      <c r="FX40">
        <v>0</v>
      </c>
      <c r="FY40">
        <v>2669</v>
      </c>
      <c r="FZ40">
        <v>901</v>
      </c>
      <c r="GA40">
        <v>11</v>
      </c>
      <c r="GB40">
        <v>9</v>
      </c>
      <c r="GC40">
        <v>2</v>
      </c>
      <c r="GD40">
        <v>2</v>
      </c>
      <c r="GE40">
        <v>2611</v>
      </c>
      <c r="GF40">
        <v>4</v>
      </c>
      <c r="GG40">
        <v>28</v>
      </c>
      <c r="GH40">
        <v>2</v>
      </c>
      <c r="GI40">
        <v>256</v>
      </c>
      <c r="GJ40">
        <v>369</v>
      </c>
      <c r="GK40">
        <v>329</v>
      </c>
      <c r="GL40">
        <v>280</v>
      </c>
      <c r="GM40">
        <v>206</v>
      </c>
      <c r="GN40">
        <v>171</v>
      </c>
      <c r="GO40">
        <v>162</v>
      </c>
      <c r="GP40">
        <v>143</v>
      </c>
      <c r="GQ40">
        <v>143</v>
      </c>
      <c r="GR40">
        <v>148</v>
      </c>
      <c r="GS40">
        <v>102</v>
      </c>
      <c r="GT40">
        <v>77</v>
      </c>
      <c r="GU40">
        <v>57</v>
      </c>
      <c r="GV40">
        <v>50</v>
      </c>
      <c r="GW40">
        <v>40</v>
      </c>
      <c r="GX40">
        <v>30</v>
      </c>
      <c r="GY40">
        <v>21</v>
      </c>
      <c r="GZ40">
        <v>21</v>
      </c>
      <c r="HA40">
        <v>227</v>
      </c>
      <c r="HB40">
        <v>302</v>
      </c>
      <c r="HC40">
        <v>344</v>
      </c>
      <c r="HD40">
        <v>255</v>
      </c>
      <c r="HE40">
        <v>244</v>
      </c>
      <c r="HF40">
        <v>220</v>
      </c>
      <c r="HG40">
        <v>221</v>
      </c>
      <c r="HH40">
        <v>172</v>
      </c>
      <c r="HI40">
        <v>171</v>
      </c>
      <c r="HJ40">
        <v>117</v>
      </c>
      <c r="HK40">
        <v>109</v>
      </c>
      <c r="HL40">
        <v>85</v>
      </c>
      <c r="HM40">
        <v>66</v>
      </c>
      <c r="HN40">
        <v>53</v>
      </c>
      <c r="HO40">
        <v>29</v>
      </c>
      <c r="HP40">
        <v>23</v>
      </c>
      <c r="HQ40">
        <v>14</v>
      </c>
      <c r="HR40">
        <v>17</v>
      </c>
      <c r="HS40">
        <v>1323</v>
      </c>
      <c r="HT40">
        <v>0</v>
      </c>
      <c r="HU40">
        <v>1</v>
      </c>
      <c r="HV40">
        <v>0</v>
      </c>
      <c r="HW40">
        <v>10</v>
      </c>
      <c r="HX40">
        <v>0</v>
      </c>
      <c r="HY40">
        <v>0</v>
      </c>
      <c r="HZ40">
        <v>0</v>
      </c>
      <c r="IA40">
        <v>71</v>
      </c>
      <c r="IB40">
        <v>145</v>
      </c>
      <c r="IC40">
        <v>232</v>
      </c>
      <c r="ID40">
        <v>307</v>
      </c>
      <c r="IE40">
        <v>240</v>
      </c>
      <c r="IF40">
        <v>195</v>
      </c>
      <c r="IG40">
        <v>125</v>
      </c>
      <c r="IH40">
        <v>96</v>
      </c>
      <c r="II40">
        <v>90</v>
      </c>
      <c r="IJ40">
        <v>88</v>
      </c>
      <c r="IK40">
        <v>352</v>
      </c>
      <c r="IL40">
        <v>440</v>
      </c>
      <c r="IM40">
        <v>363</v>
      </c>
      <c r="IN40">
        <v>190</v>
      </c>
      <c r="IO40">
        <v>57</v>
      </c>
      <c r="IP40">
        <v>8</v>
      </c>
      <c r="IQ40">
        <v>2</v>
      </c>
      <c r="IR40">
        <v>1</v>
      </c>
      <c r="IS40">
        <v>567</v>
      </c>
      <c r="IT40">
        <v>570</v>
      </c>
      <c r="IU40">
        <v>242</v>
      </c>
      <c r="IV40">
        <v>105</v>
      </c>
      <c r="IW40">
        <v>17</v>
      </c>
      <c r="IX40">
        <v>982</v>
      </c>
      <c r="IY40">
        <v>334</v>
      </c>
      <c r="IZ40">
        <v>1</v>
      </c>
      <c r="JA40">
        <v>4</v>
      </c>
      <c r="JB40">
        <v>0</v>
      </c>
      <c r="JC40">
        <v>55</v>
      </c>
      <c r="JD40">
        <v>1439</v>
      </c>
      <c r="JE40">
        <v>62</v>
      </c>
      <c r="JF40">
        <v>0</v>
      </c>
      <c r="JH40" s="28">
        <v>1176.5931546230745</v>
      </c>
      <c r="JI40" s="28">
        <v>134.21571562787145</v>
      </c>
      <c r="JJ40">
        <v>314</v>
      </c>
      <c r="JK40">
        <v>1152</v>
      </c>
      <c r="JL40">
        <v>35</v>
      </c>
      <c r="JM40">
        <v>0</v>
      </c>
      <c r="JN40">
        <v>829</v>
      </c>
      <c r="JO40">
        <v>384</v>
      </c>
      <c r="JP40">
        <v>83</v>
      </c>
      <c r="JQ40">
        <v>509</v>
      </c>
      <c r="JR40">
        <v>943</v>
      </c>
      <c r="JS40">
        <v>41</v>
      </c>
      <c r="JT40">
        <v>15</v>
      </c>
      <c r="JU40">
        <v>622</v>
      </c>
      <c r="JV40">
        <v>85</v>
      </c>
      <c r="JW40" s="28"/>
      <c r="JX40" s="28"/>
      <c r="JY40" s="28"/>
      <c r="JZ40" s="28"/>
      <c r="KA40" s="28">
        <v>1476.0000044400001</v>
      </c>
      <c r="KB40">
        <v>6401</v>
      </c>
      <c r="KC40">
        <v>0</v>
      </c>
      <c r="KD40">
        <v>4</v>
      </c>
      <c r="KE40">
        <v>0</v>
      </c>
      <c r="KF40">
        <v>28</v>
      </c>
      <c r="KG40">
        <v>0</v>
      </c>
      <c r="KH40">
        <v>0</v>
      </c>
      <c r="KI40">
        <v>0</v>
      </c>
      <c r="KJ40">
        <v>1591</v>
      </c>
      <c r="KK40">
        <v>5457</v>
      </c>
      <c r="KL40">
        <v>169</v>
      </c>
      <c r="KM40">
        <v>0</v>
      </c>
      <c r="KT40">
        <v>1177</v>
      </c>
      <c r="KU40">
        <v>1176</v>
      </c>
      <c r="KV40">
        <v>997</v>
      </c>
      <c r="KW40">
        <v>142</v>
      </c>
      <c r="KX40">
        <v>15</v>
      </c>
      <c r="KZ40">
        <v>1001</v>
      </c>
      <c r="LA40">
        <v>149</v>
      </c>
      <c r="LB40">
        <v>12</v>
      </c>
      <c r="LD40">
        <v>619</v>
      </c>
      <c r="LE40">
        <v>642</v>
      </c>
      <c r="LF40">
        <v>390</v>
      </c>
      <c r="LG40">
        <v>551</v>
      </c>
      <c r="LH40">
        <v>4716</v>
      </c>
      <c r="LI40">
        <v>10</v>
      </c>
      <c r="LJ40">
        <v>355</v>
      </c>
      <c r="LK40">
        <v>94</v>
      </c>
      <c r="LL40">
        <v>477</v>
      </c>
      <c r="LM40">
        <v>0</v>
      </c>
      <c r="LN40">
        <v>347</v>
      </c>
      <c r="LO40">
        <v>42</v>
      </c>
      <c r="LP40">
        <v>9</v>
      </c>
      <c r="LQ40">
        <v>337</v>
      </c>
      <c r="LR40">
        <v>102</v>
      </c>
      <c r="LS40">
        <v>524</v>
      </c>
      <c r="LT40">
        <v>0</v>
      </c>
      <c r="LU40">
        <v>317</v>
      </c>
      <c r="LV40">
        <v>28</v>
      </c>
      <c r="LW40" s="44"/>
      <c r="LX40" s="44"/>
      <c r="LY40" s="44"/>
      <c r="LZ40">
        <v>1501</v>
      </c>
      <c r="MA40">
        <v>7217</v>
      </c>
      <c r="MB40">
        <v>7430</v>
      </c>
      <c r="MC40">
        <v>5125</v>
      </c>
      <c r="MD40" s="26">
        <v>19.95335</v>
      </c>
      <c r="ME40" s="26">
        <v>6.3677709999999994</v>
      </c>
      <c r="MF40" s="26">
        <v>55.703986</v>
      </c>
      <c r="MG40" s="26">
        <v>27.177363999999997</v>
      </c>
      <c r="MH40" s="26">
        <v>20.919387</v>
      </c>
      <c r="MI40" s="26">
        <v>2.7981349999999998</v>
      </c>
      <c r="MJ40" s="26">
        <v>2.198534</v>
      </c>
      <c r="MK40" s="26">
        <v>4.1305800000000001</v>
      </c>
      <c r="ML40" s="26">
        <v>1.6655559999999998</v>
      </c>
      <c r="MM40" s="26">
        <v>74.417054999999991</v>
      </c>
      <c r="MN40" s="26">
        <v>44.770153000000001</v>
      </c>
      <c r="MO40" s="26">
        <v>0.78610899999999995</v>
      </c>
      <c r="MP40" t="s">
        <v>1029</v>
      </c>
      <c r="MQ40">
        <v>466</v>
      </c>
      <c r="MR40">
        <v>41</v>
      </c>
    </row>
    <row r="41" spans="1:356">
      <c r="A41" t="s">
        <v>105</v>
      </c>
      <c r="B41" t="s">
        <v>106</v>
      </c>
      <c r="C41">
        <v>52168</v>
      </c>
      <c r="D41">
        <v>67012</v>
      </c>
      <c r="E41">
        <v>80897</v>
      </c>
      <c r="F41">
        <f t="shared" si="2"/>
        <v>13885</v>
      </c>
      <c r="G41" s="26">
        <f t="shared" si="3"/>
        <v>20.72016952187667</v>
      </c>
      <c r="H41">
        <v>39159</v>
      </c>
      <c r="I41">
        <v>41738</v>
      </c>
      <c r="J41">
        <v>28585</v>
      </c>
      <c r="K41">
        <v>52312</v>
      </c>
      <c r="L41">
        <v>4104</v>
      </c>
      <c r="M41">
        <v>4449</v>
      </c>
      <c r="N41">
        <v>4249</v>
      </c>
      <c r="O41">
        <v>3657</v>
      </c>
      <c r="P41">
        <v>2974</v>
      </c>
      <c r="Q41">
        <v>2736</v>
      </c>
      <c r="R41">
        <v>2632</v>
      </c>
      <c r="S41">
        <v>2630</v>
      </c>
      <c r="T41">
        <v>2422</v>
      </c>
      <c r="U41">
        <v>2116</v>
      </c>
      <c r="V41">
        <v>1786</v>
      </c>
      <c r="W41">
        <v>1431</v>
      </c>
      <c r="X41">
        <v>1222</v>
      </c>
      <c r="Y41">
        <v>2732</v>
      </c>
      <c r="Z41">
        <v>19</v>
      </c>
      <c r="AA41">
        <v>4100</v>
      </c>
      <c r="AB41">
        <v>4351</v>
      </c>
      <c r="AC41">
        <v>4098</v>
      </c>
      <c r="AD41">
        <v>3818</v>
      </c>
      <c r="AE41">
        <v>3628</v>
      </c>
      <c r="AF41">
        <v>3542</v>
      </c>
      <c r="AG41">
        <v>3104</v>
      </c>
      <c r="AH41">
        <v>3022</v>
      </c>
      <c r="AI41">
        <v>2750</v>
      </c>
      <c r="AJ41">
        <v>2225</v>
      </c>
      <c r="AK41">
        <v>1865</v>
      </c>
      <c r="AL41">
        <v>1484</v>
      </c>
      <c r="AM41">
        <v>1167</v>
      </c>
      <c r="AN41">
        <v>2563</v>
      </c>
      <c r="AO41">
        <v>21</v>
      </c>
      <c r="AP41">
        <v>75055</v>
      </c>
      <c r="AQ41">
        <v>1548</v>
      </c>
      <c r="AR41">
        <v>359</v>
      </c>
      <c r="AS41">
        <v>3873</v>
      </c>
      <c r="AT41">
        <v>62</v>
      </c>
      <c r="AU41">
        <v>1455</v>
      </c>
      <c r="AV41">
        <v>697</v>
      </c>
      <c r="AW41">
        <v>758</v>
      </c>
      <c r="AX41">
        <v>896</v>
      </c>
      <c r="AY41">
        <v>990</v>
      </c>
      <c r="AZ41">
        <v>887</v>
      </c>
      <c r="BA41">
        <v>103</v>
      </c>
      <c r="BB41">
        <v>18</v>
      </c>
      <c r="BC41">
        <v>30</v>
      </c>
      <c r="BD41">
        <v>74</v>
      </c>
      <c r="BE41">
        <v>69</v>
      </c>
      <c r="BF41">
        <v>76</v>
      </c>
      <c r="BG41">
        <v>62</v>
      </c>
      <c r="BH41">
        <v>57</v>
      </c>
      <c r="BI41">
        <v>73</v>
      </c>
      <c r="BJ41">
        <v>66</v>
      </c>
      <c r="BK41">
        <v>91</v>
      </c>
      <c r="BL41">
        <v>56</v>
      </c>
      <c r="BM41">
        <v>70</v>
      </c>
      <c r="BN41">
        <v>42</v>
      </c>
      <c r="BO41">
        <v>68</v>
      </c>
      <c r="BP41">
        <v>43</v>
      </c>
      <c r="BQ41">
        <v>57</v>
      </c>
      <c r="BR41">
        <v>47</v>
      </c>
      <c r="BS41">
        <v>51</v>
      </c>
      <c r="BT41">
        <v>55</v>
      </c>
      <c r="BU41">
        <v>54</v>
      </c>
      <c r="BV41">
        <v>50</v>
      </c>
      <c r="BW41">
        <v>35</v>
      </c>
      <c r="BX41">
        <v>29</v>
      </c>
      <c r="BY41">
        <v>25</v>
      </c>
      <c r="BZ41">
        <v>18</v>
      </c>
      <c r="CA41">
        <v>21</v>
      </c>
      <c r="CB41">
        <v>66</v>
      </c>
      <c r="CC41">
        <v>52</v>
      </c>
      <c r="CD41">
        <v>672</v>
      </c>
      <c r="CE41">
        <v>716</v>
      </c>
      <c r="CF41">
        <v>22</v>
      </c>
      <c r="CG41">
        <v>41</v>
      </c>
      <c r="CH41">
        <v>15180</v>
      </c>
      <c r="CI41">
        <v>5008</v>
      </c>
      <c r="CJ41">
        <v>63087</v>
      </c>
      <c r="CK41">
        <v>17770</v>
      </c>
      <c r="CL41">
        <v>1611</v>
      </c>
      <c r="CM41">
        <v>2950</v>
      </c>
      <c r="CN41">
        <v>3891</v>
      </c>
      <c r="CO41">
        <v>4592</v>
      </c>
      <c r="CP41">
        <v>3446</v>
      </c>
      <c r="CQ41">
        <v>3698</v>
      </c>
      <c r="CR41">
        <v>14377</v>
      </c>
      <c r="CS41">
        <v>33813</v>
      </c>
      <c r="CT41">
        <v>6700</v>
      </c>
      <c r="CU41">
        <v>2330</v>
      </c>
      <c r="CV41">
        <v>897</v>
      </c>
      <c r="CW41">
        <v>2144</v>
      </c>
      <c r="CX41">
        <v>376</v>
      </c>
      <c r="CY41">
        <v>12737</v>
      </c>
      <c r="CZ41">
        <v>5564</v>
      </c>
      <c r="DA41">
        <v>226</v>
      </c>
      <c r="DB41">
        <v>1611</v>
      </c>
      <c r="DC41">
        <v>41</v>
      </c>
      <c r="DD41">
        <v>4009</v>
      </c>
      <c r="DE41">
        <v>5704</v>
      </c>
      <c r="DF41">
        <v>5948</v>
      </c>
      <c r="DG41">
        <v>36651</v>
      </c>
      <c r="DH41">
        <v>6858</v>
      </c>
      <c r="DI41">
        <v>0</v>
      </c>
      <c r="DJ41">
        <v>21727</v>
      </c>
      <c r="DK41">
        <v>0</v>
      </c>
      <c r="DL41">
        <v>0</v>
      </c>
      <c r="DM41">
        <v>167</v>
      </c>
      <c r="DN41">
        <v>35</v>
      </c>
      <c r="DO41">
        <v>17</v>
      </c>
      <c r="DP41">
        <v>33</v>
      </c>
      <c r="DQ41">
        <v>2</v>
      </c>
      <c r="DR41">
        <v>0</v>
      </c>
      <c r="DS41">
        <v>1</v>
      </c>
      <c r="DT41">
        <v>0</v>
      </c>
      <c r="DU41">
        <v>0</v>
      </c>
      <c r="DV41">
        <v>2093</v>
      </c>
      <c r="DW41">
        <v>2247</v>
      </c>
      <c r="DX41">
        <v>3338</v>
      </c>
      <c r="DY41">
        <v>4021</v>
      </c>
      <c r="DZ41">
        <v>1437</v>
      </c>
      <c r="EA41">
        <v>1243</v>
      </c>
      <c r="EB41">
        <v>656</v>
      </c>
      <c r="EC41">
        <v>530</v>
      </c>
      <c r="ED41">
        <v>484</v>
      </c>
      <c r="EE41">
        <v>512</v>
      </c>
      <c r="EF41">
        <v>955</v>
      </c>
      <c r="EG41">
        <v>1140</v>
      </c>
      <c r="EH41">
        <v>530</v>
      </c>
      <c r="EI41">
        <v>467</v>
      </c>
      <c r="EJ41">
        <v>2649</v>
      </c>
      <c r="EK41">
        <v>4548</v>
      </c>
      <c r="EL41">
        <v>1694</v>
      </c>
      <c r="EM41">
        <v>725</v>
      </c>
      <c r="EN41">
        <v>608</v>
      </c>
      <c r="EO41">
        <v>1288</v>
      </c>
      <c r="EP41">
        <v>645</v>
      </c>
      <c r="EQ41">
        <v>23101</v>
      </c>
      <c r="ER41">
        <v>22803</v>
      </c>
      <c r="ES41">
        <v>298</v>
      </c>
      <c r="ET41">
        <v>5606</v>
      </c>
      <c r="EU41">
        <v>13767</v>
      </c>
      <c r="EV41">
        <v>13691</v>
      </c>
      <c r="EW41">
        <v>76</v>
      </c>
      <c r="EX41">
        <v>17743</v>
      </c>
      <c r="EY41" s="26">
        <v>24.013324000000001</v>
      </c>
      <c r="EZ41" s="26">
        <v>18.532350999999998</v>
      </c>
      <c r="FA41" s="26">
        <v>23.014030000000002</v>
      </c>
      <c r="FB41" s="26">
        <v>33.757275999999997</v>
      </c>
      <c r="FC41" s="26">
        <v>0.68301900000000004</v>
      </c>
      <c r="FD41">
        <v>3373</v>
      </c>
      <c r="FE41">
        <v>15208</v>
      </c>
      <c r="FF41">
        <v>1379</v>
      </c>
      <c r="FG41">
        <v>7768</v>
      </c>
      <c r="FH41">
        <v>15</v>
      </c>
      <c r="FI41">
        <v>5349</v>
      </c>
      <c r="FJ41">
        <v>3766</v>
      </c>
      <c r="FK41" s="26" t="s">
        <v>359</v>
      </c>
      <c r="FL41" s="26" t="s">
        <v>359</v>
      </c>
      <c r="FM41" s="26" t="s">
        <v>359</v>
      </c>
      <c r="FN41" s="26" t="s">
        <v>359</v>
      </c>
      <c r="FO41" s="28">
        <v>22491</v>
      </c>
      <c r="FP41" s="28">
        <v>16638</v>
      </c>
      <c r="FQ41">
        <v>1321</v>
      </c>
      <c r="FR41">
        <v>1080</v>
      </c>
      <c r="FS41">
        <v>366</v>
      </c>
      <c r="FT41">
        <v>18</v>
      </c>
      <c r="FU41">
        <v>18791</v>
      </c>
      <c r="FV41">
        <v>36</v>
      </c>
      <c r="FW41">
        <v>132</v>
      </c>
      <c r="FX41">
        <v>30</v>
      </c>
      <c r="FY41">
        <v>25550</v>
      </c>
      <c r="FZ41">
        <v>16161</v>
      </c>
      <c r="GA41">
        <v>1378</v>
      </c>
      <c r="GB41">
        <v>1268</v>
      </c>
      <c r="GC41">
        <v>422</v>
      </c>
      <c r="GD41">
        <v>18</v>
      </c>
      <c r="GE41">
        <v>21418</v>
      </c>
      <c r="GF41">
        <v>39</v>
      </c>
      <c r="GG41">
        <v>145</v>
      </c>
      <c r="GH41">
        <v>27</v>
      </c>
      <c r="GI41">
        <v>2277</v>
      </c>
      <c r="GJ41">
        <v>2755</v>
      </c>
      <c r="GK41">
        <v>2677</v>
      </c>
      <c r="GL41">
        <v>2116</v>
      </c>
      <c r="GM41">
        <v>1501</v>
      </c>
      <c r="GN41">
        <v>1407</v>
      </c>
      <c r="GO41">
        <v>1427</v>
      </c>
      <c r="GP41">
        <v>1511</v>
      </c>
      <c r="GQ41">
        <v>1395</v>
      </c>
      <c r="GR41">
        <v>1277</v>
      </c>
      <c r="GS41">
        <v>1005</v>
      </c>
      <c r="GT41">
        <v>813</v>
      </c>
      <c r="GU41">
        <v>684</v>
      </c>
      <c r="GV41">
        <v>537</v>
      </c>
      <c r="GW41">
        <v>401</v>
      </c>
      <c r="GX41">
        <v>338</v>
      </c>
      <c r="GY41">
        <v>199</v>
      </c>
      <c r="GZ41">
        <v>171</v>
      </c>
      <c r="HA41">
        <v>2300</v>
      </c>
      <c r="HB41">
        <v>2773</v>
      </c>
      <c r="HC41">
        <v>2576</v>
      </c>
      <c r="HD41">
        <v>2277</v>
      </c>
      <c r="HE41">
        <v>2040</v>
      </c>
      <c r="HF41">
        <v>2156</v>
      </c>
      <c r="HG41">
        <v>1929</v>
      </c>
      <c r="HH41">
        <v>1869</v>
      </c>
      <c r="HI41">
        <v>1777</v>
      </c>
      <c r="HJ41">
        <v>1422</v>
      </c>
      <c r="HK41">
        <v>1158</v>
      </c>
      <c r="HL41">
        <v>927</v>
      </c>
      <c r="HM41">
        <v>715</v>
      </c>
      <c r="HN41">
        <v>568</v>
      </c>
      <c r="HO41">
        <v>381</v>
      </c>
      <c r="HP41">
        <v>326</v>
      </c>
      <c r="HQ41">
        <v>184</v>
      </c>
      <c r="HR41">
        <v>171</v>
      </c>
      <c r="HS41">
        <v>17935</v>
      </c>
      <c r="HT41">
        <v>5</v>
      </c>
      <c r="HU41">
        <v>339</v>
      </c>
      <c r="HV41">
        <v>0</v>
      </c>
      <c r="HW41">
        <v>62</v>
      </c>
      <c r="HX41">
        <v>0</v>
      </c>
      <c r="HY41">
        <v>6</v>
      </c>
      <c r="HZ41">
        <v>16</v>
      </c>
      <c r="IA41">
        <v>1589</v>
      </c>
      <c r="IB41">
        <v>2932</v>
      </c>
      <c r="IC41">
        <v>3884</v>
      </c>
      <c r="ID41">
        <v>4581</v>
      </c>
      <c r="IE41">
        <v>3438</v>
      </c>
      <c r="IF41">
        <v>1796</v>
      </c>
      <c r="IG41">
        <v>928</v>
      </c>
      <c r="IH41">
        <v>460</v>
      </c>
      <c r="II41">
        <v>512</v>
      </c>
      <c r="IJ41">
        <v>1582</v>
      </c>
      <c r="IK41">
        <v>3787</v>
      </c>
      <c r="IL41">
        <v>5627</v>
      </c>
      <c r="IM41">
        <v>5225</v>
      </c>
      <c r="IN41">
        <v>2444</v>
      </c>
      <c r="IO41">
        <v>959</v>
      </c>
      <c r="IP41">
        <v>293</v>
      </c>
      <c r="IQ41">
        <v>109</v>
      </c>
      <c r="IR41">
        <v>81</v>
      </c>
      <c r="IS41">
        <v>7104</v>
      </c>
      <c r="IT41">
        <v>8364</v>
      </c>
      <c r="IU41">
        <v>3604</v>
      </c>
      <c r="IV41">
        <v>864</v>
      </c>
      <c r="IW41">
        <v>172</v>
      </c>
      <c r="IX41">
        <v>7808</v>
      </c>
      <c r="IY41">
        <v>5876</v>
      </c>
      <c r="IZ41">
        <v>72</v>
      </c>
      <c r="JA41">
        <v>189</v>
      </c>
      <c r="JB41">
        <v>676</v>
      </c>
      <c r="JC41">
        <v>472</v>
      </c>
      <c r="JD41">
        <v>19645</v>
      </c>
      <c r="JE41">
        <v>458</v>
      </c>
      <c r="JF41">
        <v>17</v>
      </c>
      <c r="JH41" s="28">
        <v>14949.397252657838</v>
      </c>
      <c r="JI41" s="28">
        <v>448.79309923559958</v>
      </c>
      <c r="JJ41">
        <v>1643</v>
      </c>
      <c r="JK41">
        <v>15890</v>
      </c>
      <c r="JL41">
        <v>2573</v>
      </c>
      <c r="JM41">
        <v>14</v>
      </c>
      <c r="JN41">
        <v>16152</v>
      </c>
      <c r="JO41">
        <v>11425</v>
      </c>
      <c r="JP41">
        <v>5500</v>
      </c>
      <c r="JQ41">
        <v>11513</v>
      </c>
      <c r="JR41">
        <v>16609</v>
      </c>
      <c r="JS41">
        <v>2265</v>
      </c>
      <c r="JT41">
        <v>2329</v>
      </c>
      <c r="JU41">
        <v>15512</v>
      </c>
      <c r="JV41">
        <v>3084</v>
      </c>
      <c r="JW41" s="28"/>
      <c r="JX41" s="28"/>
      <c r="JY41" s="28"/>
      <c r="JZ41" s="28"/>
      <c r="KA41" s="28">
        <v>19872.000075200001</v>
      </c>
      <c r="KB41">
        <v>72852</v>
      </c>
      <c r="KC41">
        <v>14</v>
      </c>
      <c r="KD41">
        <v>908</v>
      </c>
      <c r="KE41">
        <v>0</v>
      </c>
      <c r="KF41">
        <v>162</v>
      </c>
      <c r="KG41">
        <v>0</v>
      </c>
      <c r="KH41">
        <v>15</v>
      </c>
      <c r="KI41">
        <v>67</v>
      </c>
      <c r="KJ41">
        <v>6730</v>
      </c>
      <c r="KK41">
        <v>63905</v>
      </c>
      <c r="KL41">
        <v>9991</v>
      </c>
      <c r="KM41">
        <v>54</v>
      </c>
      <c r="KT41">
        <v>11234</v>
      </c>
      <c r="KU41">
        <v>11127</v>
      </c>
      <c r="KV41">
        <v>9166</v>
      </c>
      <c r="KW41">
        <v>1234</v>
      </c>
      <c r="KX41">
        <v>473</v>
      </c>
      <c r="KZ41">
        <v>8978</v>
      </c>
      <c r="LA41">
        <v>1241</v>
      </c>
      <c r="LB41">
        <v>515</v>
      </c>
      <c r="LD41">
        <v>6652</v>
      </c>
      <c r="LE41">
        <v>6507</v>
      </c>
      <c r="LF41">
        <v>2166</v>
      </c>
      <c r="LG41">
        <v>3920</v>
      </c>
      <c r="LH41">
        <v>55506</v>
      </c>
      <c r="LI41">
        <v>151</v>
      </c>
      <c r="LJ41">
        <v>5367</v>
      </c>
      <c r="LK41">
        <v>848</v>
      </c>
      <c r="LL41">
        <v>5715</v>
      </c>
      <c r="LM41">
        <v>11</v>
      </c>
      <c r="LN41">
        <v>3090</v>
      </c>
      <c r="LO41">
        <v>1619</v>
      </c>
      <c r="LP41">
        <v>131</v>
      </c>
      <c r="LQ41">
        <v>6130</v>
      </c>
      <c r="LR41">
        <v>806</v>
      </c>
      <c r="LS41">
        <v>5870</v>
      </c>
      <c r="LT41">
        <v>11</v>
      </c>
      <c r="LU41">
        <v>3054</v>
      </c>
      <c r="LV41">
        <v>1348</v>
      </c>
      <c r="LW41" s="44"/>
      <c r="LX41" s="44"/>
      <c r="LY41" s="44"/>
      <c r="LZ41">
        <v>20120</v>
      </c>
      <c r="MA41">
        <v>80680</v>
      </c>
      <c r="MB41">
        <v>73436</v>
      </c>
      <c r="MC41">
        <v>1031</v>
      </c>
      <c r="MD41" s="26">
        <v>10.96458</v>
      </c>
      <c r="ME41" s="26">
        <v>9.1834089999999993</v>
      </c>
      <c r="MF41" s="26">
        <v>54.217562000000001</v>
      </c>
      <c r="MG41" s="26">
        <v>40.544148999999997</v>
      </c>
      <c r="MH41" s="26">
        <v>8.1660039999999992</v>
      </c>
      <c r="MI41" s="26">
        <v>1.809145</v>
      </c>
      <c r="MJ41" s="26">
        <v>7.8976139999999999</v>
      </c>
      <c r="MK41" s="26">
        <v>2.2763420000000001</v>
      </c>
      <c r="ML41" s="26">
        <v>1.232604</v>
      </c>
      <c r="MM41" s="26">
        <v>43.215705999999997</v>
      </c>
      <c r="MN41" s="26">
        <v>19.72167</v>
      </c>
      <c r="MO41" s="26">
        <v>-8.8251999999999997E-2</v>
      </c>
      <c r="MP41" t="s">
        <v>1027</v>
      </c>
      <c r="MQ41">
        <v>1115</v>
      </c>
      <c r="MR41">
        <v>102</v>
      </c>
    </row>
    <row r="42" spans="1:356">
      <c r="A42" t="s">
        <v>107</v>
      </c>
      <c r="B42" t="s">
        <v>108</v>
      </c>
      <c r="C42">
        <v>10917</v>
      </c>
      <c r="D42">
        <v>12665</v>
      </c>
      <c r="E42">
        <v>14556</v>
      </c>
      <c r="F42">
        <f t="shared" si="2"/>
        <v>1891</v>
      </c>
      <c r="G42" s="26">
        <f t="shared" si="3"/>
        <v>14.930911962100282</v>
      </c>
      <c r="H42">
        <v>7176</v>
      </c>
      <c r="I42">
        <v>7380</v>
      </c>
      <c r="J42">
        <v>6784</v>
      </c>
      <c r="K42">
        <v>7772</v>
      </c>
      <c r="L42">
        <v>816</v>
      </c>
      <c r="M42">
        <v>779</v>
      </c>
      <c r="N42">
        <v>724</v>
      </c>
      <c r="O42">
        <v>630</v>
      </c>
      <c r="P42">
        <v>589</v>
      </c>
      <c r="Q42">
        <v>499</v>
      </c>
      <c r="R42">
        <v>491</v>
      </c>
      <c r="S42">
        <v>442</v>
      </c>
      <c r="T42">
        <v>393</v>
      </c>
      <c r="U42">
        <v>395</v>
      </c>
      <c r="V42">
        <v>336</v>
      </c>
      <c r="W42">
        <v>304</v>
      </c>
      <c r="X42">
        <v>268</v>
      </c>
      <c r="Y42">
        <v>510</v>
      </c>
      <c r="Z42">
        <v>0</v>
      </c>
      <c r="AA42">
        <v>796</v>
      </c>
      <c r="AB42">
        <v>750</v>
      </c>
      <c r="AC42">
        <v>670</v>
      </c>
      <c r="AD42">
        <v>645</v>
      </c>
      <c r="AE42">
        <v>601</v>
      </c>
      <c r="AF42">
        <v>590</v>
      </c>
      <c r="AG42">
        <v>507</v>
      </c>
      <c r="AH42">
        <v>512</v>
      </c>
      <c r="AI42">
        <v>463</v>
      </c>
      <c r="AJ42">
        <v>411</v>
      </c>
      <c r="AK42">
        <v>357</v>
      </c>
      <c r="AL42">
        <v>309</v>
      </c>
      <c r="AM42">
        <v>260</v>
      </c>
      <c r="AN42">
        <v>509</v>
      </c>
      <c r="AO42">
        <v>0</v>
      </c>
      <c r="AP42">
        <v>13489</v>
      </c>
      <c r="AQ42">
        <v>306</v>
      </c>
      <c r="AR42">
        <v>30</v>
      </c>
      <c r="AS42">
        <v>705</v>
      </c>
      <c r="AT42">
        <v>26</v>
      </c>
      <c r="AU42">
        <v>77</v>
      </c>
      <c r="AV42">
        <v>65</v>
      </c>
      <c r="AW42">
        <v>12</v>
      </c>
      <c r="AX42">
        <v>28</v>
      </c>
      <c r="AY42">
        <v>4</v>
      </c>
      <c r="AZ42">
        <v>4</v>
      </c>
      <c r="BA42">
        <v>0</v>
      </c>
      <c r="BB42">
        <v>0</v>
      </c>
      <c r="BC42">
        <v>0</v>
      </c>
      <c r="BD42">
        <v>0</v>
      </c>
      <c r="BE42">
        <v>2</v>
      </c>
      <c r="BF42">
        <v>0</v>
      </c>
      <c r="BG42">
        <v>0</v>
      </c>
      <c r="BH42">
        <v>7</v>
      </c>
      <c r="BI42">
        <v>1</v>
      </c>
      <c r="BJ42">
        <v>23</v>
      </c>
      <c r="BK42">
        <v>2</v>
      </c>
      <c r="BL42">
        <v>14</v>
      </c>
      <c r="BM42">
        <v>0</v>
      </c>
      <c r="BN42">
        <v>6</v>
      </c>
      <c r="BO42">
        <v>2</v>
      </c>
      <c r="BP42">
        <v>8</v>
      </c>
      <c r="BQ42">
        <v>1</v>
      </c>
      <c r="BR42">
        <v>2</v>
      </c>
      <c r="BS42">
        <v>0</v>
      </c>
      <c r="BT42">
        <v>1</v>
      </c>
      <c r="BU42">
        <v>2</v>
      </c>
      <c r="BV42">
        <v>0</v>
      </c>
      <c r="BW42">
        <v>0</v>
      </c>
      <c r="BX42">
        <v>1</v>
      </c>
      <c r="BY42">
        <v>0</v>
      </c>
      <c r="BZ42">
        <v>2</v>
      </c>
      <c r="CA42">
        <v>1</v>
      </c>
      <c r="CB42">
        <v>1</v>
      </c>
      <c r="CC42">
        <v>1</v>
      </c>
      <c r="CD42">
        <v>64</v>
      </c>
      <c r="CE42">
        <v>11</v>
      </c>
      <c r="CF42">
        <v>0</v>
      </c>
      <c r="CG42">
        <v>0</v>
      </c>
      <c r="CH42">
        <v>2696</v>
      </c>
      <c r="CI42">
        <v>998</v>
      </c>
      <c r="CJ42">
        <v>10766</v>
      </c>
      <c r="CK42">
        <v>3690</v>
      </c>
      <c r="CL42">
        <v>358</v>
      </c>
      <c r="CM42">
        <v>573</v>
      </c>
      <c r="CN42">
        <v>740</v>
      </c>
      <c r="CO42">
        <v>752</v>
      </c>
      <c r="CP42">
        <v>601</v>
      </c>
      <c r="CQ42">
        <v>670</v>
      </c>
      <c r="CR42">
        <v>2488</v>
      </c>
      <c r="CS42">
        <v>5770</v>
      </c>
      <c r="CT42">
        <v>1413</v>
      </c>
      <c r="CU42">
        <v>398</v>
      </c>
      <c r="CV42">
        <v>131</v>
      </c>
      <c r="CW42">
        <v>472</v>
      </c>
      <c r="CX42">
        <v>90</v>
      </c>
      <c r="CY42">
        <v>2207</v>
      </c>
      <c r="CZ42">
        <v>1077</v>
      </c>
      <c r="DA42">
        <v>44</v>
      </c>
      <c r="DB42">
        <v>358</v>
      </c>
      <c r="DC42">
        <v>8</v>
      </c>
      <c r="DD42">
        <v>0</v>
      </c>
      <c r="DE42">
        <v>550</v>
      </c>
      <c r="DF42">
        <v>1385</v>
      </c>
      <c r="DG42">
        <v>5837</v>
      </c>
      <c r="DH42">
        <v>6784</v>
      </c>
      <c r="DI42">
        <v>0</v>
      </c>
      <c r="DJ42">
        <v>0</v>
      </c>
      <c r="DK42">
        <v>0</v>
      </c>
      <c r="DL42">
        <v>0</v>
      </c>
      <c r="DM42">
        <v>0</v>
      </c>
      <c r="DN42">
        <v>3</v>
      </c>
      <c r="DO42">
        <v>4</v>
      </c>
      <c r="DP42">
        <v>6</v>
      </c>
      <c r="DQ42">
        <v>2</v>
      </c>
      <c r="DR42">
        <v>0</v>
      </c>
      <c r="DS42">
        <v>0</v>
      </c>
      <c r="DT42">
        <v>0</v>
      </c>
      <c r="DU42">
        <v>0</v>
      </c>
      <c r="DV42">
        <v>278</v>
      </c>
      <c r="DW42">
        <v>316</v>
      </c>
      <c r="DX42">
        <v>431</v>
      </c>
      <c r="DY42">
        <v>529</v>
      </c>
      <c r="DZ42">
        <v>189</v>
      </c>
      <c r="EA42">
        <v>174</v>
      </c>
      <c r="EB42">
        <v>154</v>
      </c>
      <c r="EC42">
        <v>112</v>
      </c>
      <c r="ED42">
        <v>95</v>
      </c>
      <c r="EE42">
        <v>105</v>
      </c>
      <c r="EF42">
        <v>154</v>
      </c>
      <c r="EG42">
        <v>172</v>
      </c>
      <c r="EH42">
        <v>86</v>
      </c>
      <c r="EI42">
        <v>86</v>
      </c>
      <c r="EJ42">
        <v>385</v>
      </c>
      <c r="EK42">
        <v>614</v>
      </c>
      <c r="EL42">
        <v>245</v>
      </c>
      <c r="EM42">
        <v>145</v>
      </c>
      <c r="EN42">
        <v>118</v>
      </c>
      <c r="EO42">
        <v>209</v>
      </c>
      <c r="EP42">
        <v>100</v>
      </c>
      <c r="EQ42">
        <v>4092</v>
      </c>
      <c r="ER42">
        <v>4024</v>
      </c>
      <c r="ES42">
        <v>68</v>
      </c>
      <c r="ET42">
        <v>1061</v>
      </c>
      <c r="EU42">
        <v>2777</v>
      </c>
      <c r="EV42">
        <v>2755</v>
      </c>
      <c r="EW42">
        <v>22</v>
      </c>
      <c r="EX42">
        <v>2751</v>
      </c>
      <c r="EY42" s="26">
        <v>37.216132000000002</v>
      </c>
      <c r="EZ42" s="26">
        <v>11.080656999999999</v>
      </c>
      <c r="FA42" s="26">
        <v>14.408771</v>
      </c>
      <c r="FB42" s="26">
        <v>35.943618000000001</v>
      </c>
      <c r="FC42" s="26">
        <v>1.350822</v>
      </c>
      <c r="FD42">
        <v>789</v>
      </c>
      <c r="FE42">
        <v>1864</v>
      </c>
      <c r="FF42">
        <v>275</v>
      </c>
      <c r="FG42">
        <v>1614</v>
      </c>
      <c r="FH42">
        <v>6</v>
      </c>
      <c r="FI42">
        <v>1619</v>
      </c>
      <c r="FJ42">
        <v>696</v>
      </c>
      <c r="FK42" s="26" t="s">
        <v>359</v>
      </c>
      <c r="FL42" s="26" t="s">
        <v>359</v>
      </c>
      <c r="FM42" s="26" t="s">
        <v>359</v>
      </c>
      <c r="FN42" s="26" t="s">
        <v>359</v>
      </c>
      <c r="FO42" s="28">
        <v>3960</v>
      </c>
      <c r="FP42" s="28">
        <v>3194</v>
      </c>
      <c r="FQ42">
        <v>1061</v>
      </c>
      <c r="FR42">
        <v>269</v>
      </c>
      <c r="FS42">
        <v>32</v>
      </c>
      <c r="FT42">
        <v>168</v>
      </c>
      <c r="FU42">
        <v>2267</v>
      </c>
      <c r="FV42">
        <v>102</v>
      </c>
      <c r="FW42">
        <v>88</v>
      </c>
      <c r="FX42">
        <v>22</v>
      </c>
      <c r="FY42">
        <v>4371</v>
      </c>
      <c r="FZ42">
        <v>3008</v>
      </c>
      <c r="GA42">
        <v>1136</v>
      </c>
      <c r="GB42">
        <v>321</v>
      </c>
      <c r="GC42">
        <v>37</v>
      </c>
      <c r="GD42">
        <v>180</v>
      </c>
      <c r="GE42">
        <v>2549</v>
      </c>
      <c r="GF42">
        <v>93</v>
      </c>
      <c r="GG42">
        <v>85</v>
      </c>
      <c r="GH42">
        <v>1</v>
      </c>
      <c r="GI42">
        <v>408</v>
      </c>
      <c r="GJ42">
        <v>456</v>
      </c>
      <c r="GK42">
        <v>427</v>
      </c>
      <c r="GL42">
        <v>372</v>
      </c>
      <c r="GM42">
        <v>287</v>
      </c>
      <c r="GN42">
        <v>253</v>
      </c>
      <c r="GO42">
        <v>247</v>
      </c>
      <c r="GP42">
        <v>238</v>
      </c>
      <c r="GQ42">
        <v>210</v>
      </c>
      <c r="GR42">
        <v>198</v>
      </c>
      <c r="GS42">
        <v>193</v>
      </c>
      <c r="GT42">
        <v>183</v>
      </c>
      <c r="GU42">
        <v>149</v>
      </c>
      <c r="GV42">
        <v>126</v>
      </c>
      <c r="GW42">
        <v>83</v>
      </c>
      <c r="GX42">
        <v>60</v>
      </c>
      <c r="GY42">
        <v>39</v>
      </c>
      <c r="GZ42">
        <v>31</v>
      </c>
      <c r="HA42">
        <v>413</v>
      </c>
      <c r="HB42">
        <v>412</v>
      </c>
      <c r="HC42">
        <v>399</v>
      </c>
      <c r="HD42">
        <v>388</v>
      </c>
      <c r="HE42">
        <v>324</v>
      </c>
      <c r="HF42">
        <v>349</v>
      </c>
      <c r="HG42">
        <v>294</v>
      </c>
      <c r="HH42">
        <v>303</v>
      </c>
      <c r="HI42">
        <v>285</v>
      </c>
      <c r="HJ42">
        <v>250</v>
      </c>
      <c r="HK42">
        <v>235</v>
      </c>
      <c r="HL42">
        <v>193</v>
      </c>
      <c r="HM42">
        <v>166</v>
      </c>
      <c r="HN42">
        <v>113</v>
      </c>
      <c r="HO42">
        <v>99</v>
      </c>
      <c r="HP42">
        <v>67</v>
      </c>
      <c r="HQ42">
        <v>40</v>
      </c>
      <c r="HR42">
        <v>41</v>
      </c>
      <c r="HS42">
        <v>2509</v>
      </c>
      <c r="HT42">
        <v>0</v>
      </c>
      <c r="HU42">
        <v>31</v>
      </c>
      <c r="HV42">
        <v>0</v>
      </c>
      <c r="HW42">
        <v>8</v>
      </c>
      <c r="HX42">
        <v>1</v>
      </c>
      <c r="HY42">
        <v>4</v>
      </c>
      <c r="HZ42">
        <v>2</v>
      </c>
      <c r="IA42">
        <v>353</v>
      </c>
      <c r="IB42">
        <v>573</v>
      </c>
      <c r="IC42">
        <v>739</v>
      </c>
      <c r="ID42">
        <v>749</v>
      </c>
      <c r="IE42">
        <v>600</v>
      </c>
      <c r="IF42">
        <v>324</v>
      </c>
      <c r="IG42">
        <v>166</v>
      </c>
      <c r="IH42">
        <v>98</v>
      </c>
      <c r="II42">
        <v>79</v>
      </c>
      <c r="IJ42">
        <v>819</v>
      </c>
      <c r="IK42">
        <v>798</v>
      </c>
      <c r="IL42">
        <v>924</v>
      </c>
      <c r="IM42">
        <v>671</v>
      </c>
      <c r="IN42">
        <v>328</v>
      </c>
      <c r="IO42">
        <v>110</v>
      </c>
      <c r="IP42">
        <v>14</v>
      </c>
      <c r="IQ42">
        <v>13</v>
      </c>
      <c r="IR42">
        <v>4</v>
      </c>
      <c r="IS42">
        <v>1627</v>
      </c>
      <c r="IT42">
        <v>1346</v>
      </c>
      <c r="IU42">
        <v>564</v>
      </c>
      <c r="IV42">
        <v>118</v>
      </c>
      <c r="IW42">
        <v>26</v>
      </c>
      <c r="IX42">
        <v>1832</v>
      </c>
      <c r="IY42">
        <v>390</v>
      </c>
      <c r="IZ42">
        <v>1</v>
      </c>
      <c r="JA42">
        <v>78</v>
      </c>
      <c r="JB42">
        <v>0</v>
      </c>
      <c r="JC42">
        <v>2</v>
      </c>
      <c r="JD42">
        <v>3523</v>
      </c>
      <c r="JE42">
        <v>158</v>
      </c>
      <c r="JF42">
        <v>0</v>
      </c>
      <c r="JH42" s="28">
        <v>2860.8683340476337</v>
      </c>
      <c r="JI42" s="28">
        <v>165.73998959162432</v>
      </c>
      <c r="JJ42">
        <v>344</v>
      </c>
      <c r="JK42">
        <v>3033</v>
      </c>
      <c r="JL42">
        <v>304</v>
      </c>
      <c r="JM42">
        <v>0</v>
      </c>
      <c r="JN42">
        <v>2902</v>
      </c>
      <c r="JO42">
        <v>1797</v>
      </c>
      <c r="JP42">
        <v>750</v>
      </c>
      <c r="JQ42">
        <v>2049</v>
      </c>
      <c r="JR42">
        <v>3042</v>
      </c>
      <c r="JS42">
        <v>283</v>
      </c>
      <c r="JT42">
        <v>81</v>
      </c>
      <c r="JU42">
        <v>2727</v>
      </c>
      <c r="JV42">
        <v>279</v>
      </c>
      <c r="JW42" s="28"/>
      <c r="JX42" s="28"/>
      <c r="JY42" s="28"/>
      <c r="JZ42" s="28"/>
      <c r="KA42" s="28">
        <v>3616.9999990199999</v>
      </c>
      <c r="KB42">
        <v>10073</v>
      </c>
      <c r="KC42">
        <v>0</v>
      </c>
      <c r="KD42">
        <v>93</v>
      </c>
      <c r="KE42">
        <v>0</v>
      </c>
      <c r="KF42">
        <v>25</v>
      </c>
      <c r="KG42">
        <v>6</v>
      </c>
      <c r="KH42">
        <v>12</v>
      </c>
      <c r="KI42">
        <v>7</v>
      </c>
      <c r="KJ42">
        <v>1343</v>
      </c>
      <c r="KK42">
        <v>11919</v>
      </c>
      <c r="KL42">
        <v>1151</v>
      </c>
      <c r="KM42">
        <v>0</v>
      </c>
      <c r="KT42">
        <v>1942</v>
      </c>
      <c r="KU42">
        <v>1851</v>
      </c>
      <c r="KV42">
        <v>1592</v>
      </c>
      <c r="KW42">
        <v>230</v>
      </c>
      <c r="KX42">
        <v>73</v>
      </c>
      <c r="KZ42">
        <v>1491</v>
      </c>
      <c r="LA42">
        <v>235</v>
      </c>
      <c r="LB42">
        <v>81</v>
      </c>
      <c r="LD42">
        <v>1127</v>
      </c>
      <c r="LE42">
        <v>1089</v>
      </c>
      <c r="LF42">
        <v>547</v>
      </c>
      <c r="LG42">
        <v>736</v>
      </c>
      <c r="LH42">
        <v>10021</v>
      </c>
      <c r="LI42">
        <v>17</v>
      </c>
      <c r="LJ42">
        <v>684</v>
      </c>
      <c r="LK42">
        <v>170</v>
      </c>
      <c r="LL42">
        <v>1044</v>
      </c>
      <c r="LM42">
        <v>2</v>
      </c>
      <c r="LN42">
        <v>951</v>
      </c>
      <c r="LO42">
        <v>332</v>
      </c>
      <c r="LP42">
        <v>13</v>
      </c>
      <c r="LQ42">
        <v>736</v>
      </c>
      <c r="LR42">
        <v>138</v>
      </c>
      <c r="LS42">
        <v>1354</v>
      </c>
      <c r="LT42">
        <v>5</v>
      </c>
      <c r="LU42">
        <v>882</v>
      </c>
      <c r="LV42">
        <v>307</v>
      </c>
      <c r="LW42" s="44"/>
      <c r="LX42" s="44"/>
      <c r="LY42" s="44"/>
      <c r="LZ42">
        <v>3681</v>
      </c>
      <c r="MA42">
        <v>14413</v>
      </c>
      <c r="MB42">
        <v>14416</v>
      </c>
      <c r="MC42">
        <v>17</v>
      </c>
      <c r="MD42" s="26">
        <v>12.803113</v>
      </c>
      <c r="ME42" s="26">
        <v>12.615031</v>
      </c>
      <c r="MF42" s="26">
        <v>42.500748000000002</v>
      </c>
      <c r="MG42" s="26">
        <v>42.607858999999998</v>
      </c>
      <c r="MH42" s="26">
        <v>9.345286999999999</v>
      </c>
      <c r="MI42" s="26">
        <v>4.2651449999999995</v>
      </c>
      <c r="MJ42" s="26">
        <v>9.2094539999999991</v>
      </c>
      <c r="MK42" s="26">
        <v>4.2923119999999999</v>
      </c>
      <c r="ML42" s="26">
        <v>1.7386579999999998</v>
      </c>
      <c r="MM42" s="26">
        <v>51.181743999999995</v>
      </c>
      <c r="MN42" s="26">
        <v>21.162727999999998</v>
      </c>
      <c r="MO42" s="26">
        <v>5.7389999999999997E-2</v>
      </c>
      <c r="MP42" t="s">
        <v>1027</v>
      </c>
      <c r="MQ42">
        <v>966</v>
      </c>
      <c r="MR42">
        <v>88</v>
      </c>
    </row>
    <row r="43" spans="1:356">
      <c r="A43" t="s">
        <v>285</v>
      </c>
      <c r="B43" t="s">
        <v>286</v>
      </c>
      <c r="C43" t="s">
        <v>393</v>
      </c>
      <c r="D43" t="s">
        <v>359</v>
      </c>
      <c r="E43">
        <v>11650</v>
      </c>
      <c r="F43" t="e">
        <f t="shared" si="2"/>
        <v>#VALUE!</v>
      </c>
      <c r="G43" s="26" t="e">
        <f t="shared" si="3"/>
        <v>#VALUE!</v>
      </c>
      <c r="H43">
        <v>5897</v>
      </c>
      <c r="I43">
        <v>5753</v>
      </c>
      <c r="J43">
        <v>0</v>
      </c>
      <c r="K43">
        <v>11650</v>
      </c>
      <c r="L43">
        <v>655</v>
      </c>
      <c r="M43">
        <v>728</v>
      </c>
      <c r="N43">
        <v>737</v>
      </c>
      <c r="O43">
        <v>589</v>
      </c>
      <c r="P43">
        <v>507</v>
      </c>
      <c r="Q43">
        <v>395</v>
      </c>
      <c r="R43">
        <v>395</v>
      </c>
      <c r="S43">
        <v>357</v>
      </c>
      <c r="T43">
        <v>329</v>
      </c>
      <c r="U43">
        <v>299</v>
      </c>
      <c r="V43">
        <v>218</v>
      </c>
      <c r="W43">
        <v>175</v>
      </c>
      <c r="X43">
        <v>164</v>
      </c>
      <c r="Y43">
        <v>349</v>
      </c>
      <c r="Z43">
        <v>0</v>
      </c>
      <c r="AA43">
        <v>631</v>
      </c>
      <c r="AB43">
        <v>742</v>
      </c>
      <c r="AC43">
        <v>699</v>
      </c>
      <c r="AD43">
        <v>607</v>
      </c>
      <c r="AE43">
        <v>475</v>
      </c>
      <c r="AF43">
        <v>425</v>
      </c>
      <c r="AG43">
        <v>382</v>
      </c>
      <c r="AH43">
        <v>388</v>
      </c>
      <c r="AI43">
        <v>311</v>
      </c>
      <c r="AJ43">
        <v>259</v>
      </c>
      <c r="AK43">
        <v>212</v>
      </c>
      <c r="AL43">
        <v>174</v>
      </c>
      <c r="AM43">
        <v>152</v>
      </c>
      <c r="AN43">
        <v>296</v>
      </c>
      <c r="AO43">
        <v>0</v>
      </c>
      <c r="AP43">
        <v>11571</v>
      </c>
      <c r="AQ43">
        <v>46</v>
      </c>
      <c r="AR43">
        <v>16</v>
      </c>
      <c r="AS43">
        <v>15</v>
      </c>
      <c r="AT43">
        <v>2</v>
      </c>
      <c r="AU43">
        <v>7</v>
      </c>
      <c r="AV43">
        <v>6</v>
      </c>
      <c r="AW43">
        <v>1</v>
      </c>
      <c r="AX43" t="s">
        <v>393</v>
      </c>
      <c r="AY43" t="s">
        <v>393</v>
      </c>
      <c r="AZ43" t="s">
        <v>393</v>
      </c>
      <c r="BA43" t="s">
        <v>393</v>
      </c>
      <c r="BB43">
        <v>0</v>
      </c>
      <c r="BC43">
        <v>0</v>
      </c>
      <c r="BD43">
        <v>0</v>
      </c>
      <c r="BE43">
        <v>0</v>
      </c>
      <c r="BF43">
        <v>0</v>
      </c>
      <c r="BG43">
        <v>0</v>
      </c>
      <c r="BH43">
        <v>0</v>
      </c>
      <c r="BI43">
        <v>0</v>
      </c>
      <c r="BJ43">
        <v>1</v>
      </c>
      <c r="BK43">
        <v>1</v>
      </c>
      <c r="BL43">
        <v>0</v>
      </c>
      <c r="BM43">
        <v>0</v>
      </c>
      <c r="BN43">
        <v>0</v>
      </c>
      <c r="BO43">
        <v>0</v>
      </c>
      <c r="BP43">
        <v>0</v>
      </c>
      <c r="BQ43">
        <v>0</v>
      </c>
      <c r="BR43">
        <v>0</v>
      </c>
      <c r="BS43">
        <v>0</v>
      </c>
      <c r="BT43">
        <v>0</v>
      </c>
      <c r="BU43">
        <v>0</v>
      </c>
      <c r="BV43">
        <v>0</v>
      </c>
      <c r="BW43">
        <v>0</v>
      </c>
      <c r="BX43">
        <v>0</v>
      </c>
      <c r="BY43">
        <v>0</v>
      </c>
      <c r="BZ43">
        <v>1</v>
      </c>
      <c r="CA43">
        <v>0</v>
      </c>
      <c r="CB43">
        <v>4</v>
      </c>
      <c r="CC43">
        <v>0</v>
      </c>
      <c r="CD43">
        <v>6</v>
      </c>
      <c r="CE43">
        <v>1</v>
      </c>
      <c r="CF43">
        <v>0</v>
      </c>
      <c r="CG43">
        <v>0</v>
      </c>
      <c r="CH43">
        <v>2005</v>
      </c>
      <c r="CI43">
        <v>339</v>
      </c>
      <c r="CJ43">
        <v>10269</v>
      </c>
      <c r="CK43">
        <v>1381</v>
      </c>
      <c r="CL43">
        <v>102</v>
      </c>
      <c r="CM43">
        <v>235</v>
      </c>
      <c r="CN43">
        <v>317</v>
      </c>
      <c r="CO43">
        <v>416</v>
      </c>
      <c r="CP43">
        <v>418</v>
      </c>
      <c r="CQ43">
        <v>856</v>
      </c>
      <c r="CR43">
        <v>1881</v>
      </c>
      <c r="CS43">
        <v>5592</v>
      </c>
      <c r="CT43">
        <v>1029</v>
      </c>
      <c r="CU43">
        <v>399</v>
      </c>
      <c r="CV43">
        <v>175</v>
      </c>
      <c r="CW43">
        <v>219</v>
      </c>
      <c r="CX43">
        <v>11</v>
      </c>
      <c r="CY43">
        <v>1449</v>
      </c>
      <c r="CZ43">
        <v>786</v>
      </c>
      <c r="DA43">
        <v>7</v>
      </c>
      <c r="DB43">
        <v>102</v>
      </c>
      <c r="DC43">
        <v>0</v>
      </c>
      <c r="DD43">
        <v>1111</v>
      </c>
      <c r="DE43">
        <v>2871</v>
      </c>
      <c r="DF43">
        <v>3503</v>
      </c>
      <c r="DG43">
        <v>4165</v>
      </c>
      <c r="DH43">
        <v>0</v>
      </c>
      <c r="DI43">
        <v>0</v>
      </c>
      <c r="DJ43">
        <v>0</v>
      </c>
      <c r="DK43">
        <v>0</v>
      </c>
      <c r="DL43">
        <v>0</v>
      </c>
      <c r="DM43">
        <v>28</v>
      </c>
      <c r="DN43">
        <v>19</v>
      </c>
      <c r="DO43">
        <v>10</v>
      </c>
      <c r="DP43">
        <v>6</v>
      </c>
      <c r="DQ43">
        <v>0</v>
      </c>
      <c r="DR43">
        <v>0</v>
      </c>
      <c r="DS43">
        <v>0</v>
      </c>
      <c r="DT43">
        <v>0</v>
      </c>
      <c r="DU43">
        <v>0</v>
      </c>
      <c r="DV43">
        <v>185</v>
      </c>
      <c r="DW43">
        <v>197</v>
      </c>
      <c r="DX43">
        <v>295</v>
      </c>
      <c r="DY43">
        <v>291</v>
      </c>
      <c r="DZ43">
        <v>145</v>
      </c>
      <c r="EA43">
        <v>130</v>
      </c>
      <c r="EB43">
        <v>126</v>
      </c>
      <c r="EC43">
        <v>82</v>
      </c>
      <c r="ED43">
        <v>136</v>
      </c>
      <c r="EE43">
        <v>127</v>
      </c>
      <c r="EF43">
        <v>122</v>
      </c>
      <c r="EG43">
        <v>138</v>
      </c>
      <c r="EH43">
        <v>61</v>
      </c>
      <c r="EI43">
        <v>53</v>
      </c>
      <c r="EJ43">
        <v>327</v>
      </c>
      <c r="EK43">
        <v>516</v>
      </c>
      <c r="EL43">
        <v>228</v>
      </c>
      <c r="EM43">
        <v>142</v>
      </c>
      <c r="EN43">
        <v>206</v>
      </c>
      <c r="EO43">
        <v>204</v>
      </c>
      <c r="EP43">
        <v>96</v>
      </c>
      <c r="EQ43">
        <v>3432</v>
      </c>
      <c r="ER43">
        <v>3423</v>
      </c>
      <c r="ES43">
        <v>9</v>
      </c>
      <c r="ET43">
        <v>782</v>
      </c>
      <c r="EU43">
        <v>1882</v>
      </c>
      <c r="EV43">
        <v>1879</v>
      </c>
      <c r="EW43">
        <v>3</v>
      </c>
      <c r="EX43">
        <v>2221</v>
      </c>
      <c r="EY43" s="26" t="e">
        <v>#N/A</v>
      </c>
      <c r="EZ43" s="26" t="e">
        <v>#N/A</v>
      </c>
      <c r="FA43" s="26" t="e">
        <v>#N/A</v>
      </c>
      <c r="FB43" s="26" t="e">
        <v>#N/A</v>
      </c>
      <c r="FC43" s="26" t="e">
        <v>#N/A</v>
      </c>
      <c r="FD43">
        <v>777</v>
      </c>
      <c r="FE43">
        <v>2334</v>
      </c>
      <c r="FF43">
        <v>171</v>
      </c>
      <c r="FG43">
        <v>1194</v>
      </c>
      <c r="FH43">
        <v>2</v>
      </c>
      <c r="FI43">
        <v>701</v>
      </c>
      <c r="FJ43">
        <v>134</v>
      </c>
      <c r="FK43" s="26" t="s">
        <v>359</v>
      </c>
      <c r="FL43" s="26" t="s">
        <v>359</v>
      </c>
      <c r="FM43" s="26" t="s">
        <v>359</v>
      </c>
      <c r="FN43" s="26" t="s">
        <v>359</v>
      </c>
      <c r="FO43" s="28">
        <v>4974</v>
      </c>
      <c r="FP43" s="28">
        <v>922</v>
      </c>
      <c r="FQ43">
        <v>54</v>
      </c>
      <c r="FR43">
        <v>14</v>
      </c>
      <c r="FS43">
        <v>5</v>
      </c>
      <c r="FT43">
        <v>5</v>
      </c>
      <c r="FU43">
        <v>4298</v>
      </c>
      <c r="FV43">
        <v>1</v>
      </c>
      <c r="FW43">
        <v>0</v>
      </c>
      <c r="FX43">
        <v>1</v>
      </c>
      <c r="FY43">
        <v>5002</v>
      </c>
      <c r="FZ43">
        <v>751</v>
      </c>
      <c r="GA43">
        <v>48</v>
      </c>
      <c r="GB43">
        <v>12</v>
      </c>
      <c r="GC43">
        <v>5</v>
      </c>
      <c r="GD43">
        <v>2</v>
      </c>
      <c r="GE43">
        <v>4296</v>
      </c>
      <c r="GF43">
        <v>2</v>
      </c>
      <c r="GG43">
        <v>0</v>
      </c>
      <c r="GH43">
        <v>0</v>
      </c>
      <c r="GI43">
        <v>496</v>
      </c>
      <c r="GJ43">
        <v>651</v>
      </c>
      <c r="GK43">
        <v>663</v>
      </c>
      <c r="GL43">
        <v>514</v>
      </c>
      <c r="GM43">
        <v>433</v>
      </c>
      <c r="GN43">
        <v>322</v>
      </c>
      <c r="GO43">
        <v>328</v>
      </c>
      <c r="GP43">
        <v>289</v>
      </c>
      <c r="GQ43">
        <v>283</v>
      </c>
      <c r="GR43">
        <v>246</v>
      </c>
      <c r="GS43">
        <v>181</v>
      </c>
      <c r="GT43">
        <v>147</v>
      </c>
      <c r="GU43">
        <v>130</v>
      </c>
      <c r="GV43">
        <v>101</v>
      </c>
      <c r="GW43">
        <v>72</v>
      </c>
      <c r="GX43">
        <v>45</v>
      </c>
      <c r="GY43">
        <v>39</v>
      </c>
      <c r="GZ43">
        <v>34</v>
      </c>
      <c r="HA43">
        <v>471</v>
      </c>
      <c r="HB43">
        <v>670</v>
      </c>
      <c r="HC43">
        <v>620</v>
      </c>
      <c r="HD43">
        <v>529</v>
      </c>
      <c r="HE43">
        <v>420</v>
      </c>
      <c r="HF43">
        <v>368</v>
      </c>
      <c r="HG43">
        <v>336</v>
      </c>
      <c r="HH43">
        <v>348</v>
      </c>
      <c r="HI43">
        <v>281</v>
      </c>
      <c r="HJ43">
        <v>233</v>
      </c>
      <c r="HK43">
        <v>187</v>
      </c>
      <c r="HL43">
        <v>149</v>
      </c>
      <c r="HM43">
        <v>130</v>
      </c>
      <c r="HN43">
        <v>83</v>
      </c>
      <c r="HO43">
        <v>69</v>
      </c>
      <c r="HP43">
        <v>35</v>
      </c>
      <c r="HQ43">
        <v>39</v>
      </c>
      <c r="HR43">
        <v>34</v>
      </c>
      <c r="HS43">
        <v>2327</v>
      </c>
      <c r="HT43">
        <v>0</v>
      </c>
      <c r="HU43">
        <v>0</v>
      </c>
      <c r="HV43">
        <v>0</v>
      </c>
      <c r="HW43">
        <v>1</v>
      </c>
      <c r="HX43">
        <v>0</v>
      </c>
      <c r="HY43">
        <v>1</v>
      </c>
      <c r="HZ43">
        <v>0</v>
      </c>
      <c r="IA43">
        <v>101</v>
      </c>
      <c r="IB43">
        <v>235</v>
      </c>
      <c r="IC43">
        <v>317</v>
      </c>
      <c r="ID43">
        <v>416</v>
      </c>
      <c r="IE43">
        <v>418</v>
      </c>
      <c r="IF43">
        <v>322</v>
      </c>
      <c r="IG43">
        <v>220</v>
      </c>
      <c r="IH43">
        <v>140</v>
      </c>
      <c r="II43">
        <v>173</v>
      </c>
      <c r="IJ43">
        <v>81</v>
      </c>
      <c r="IK43">
        <v>736</v>
      </c>
      <c r="IL43">
        <v>767</v>
      </c>
      <c r="IM43">
        <v>429</v>
      </c>
      <c r="IN43">
        <v>212</v>
      </c>
      <c r="IO43">
        <v>79</v>
      </c>
      <c r="IP43">
        <v>22</v>
      </c>
      <c r="IQ43">
        <v>10</v>
      </c>
      <c r="IR43">
        <v>6</v>
      </c>
      <c r="IS43">
        <v>960</v>
      </c>
      <c r="IT43">
        <v>926</v>
      </c>
      <c r="IU43">
        <v>336</v>
      </c>
      <c r="IV43">
        <v>100</v>
      </c>
      <c r="IW43">
        <v>20</v>
      </c>
      <c r="IX43">
        <v>966</v>
      </c>
      <c r="IY43">
        <v>790</v>
      </c>
      <c r="IZ43">
        <v>0</v>
      </c>
      <c r="JA43">
        <v>14</v>
      </c>
      <c r="JB43">
        <v>0</v>
      </c>
      <c r="JC43">
        <v>66</v>
      </c>
      <c r="JD43">
        <v>2277</v>
      </c>
      <c r="JE43">
        <v>65</v>
      </c>
      <c r="JF43">
        <v>0</v>
      </c>
      <c r="JH43" s="28">
        <v>0</v>
      </c>
      <c r="JI43" s="28">
        <v>0</v>
      </c>
      <c r="JJ43">
        <v>490</v>
      </c>
      <c r="JK43">
        <v>1760</v>
      </c>
      <c r="JL43">
        <v>92</v>
      </c>
      <c r="JM43">
        <v>0</v>
      </c>
      <c r="JN43">
        <v>1217</v>
      </c>
      <c r="JO43">
        <v>663</v>
      </c>
      <c r="JP43">
        <v>414</v>
      </c>
      <c r="JQ43">
        <v>1024</v>
      </c>
      <c r="JR43">
        <v>1490</v>
      </c>
      <c r="JS43">
        <v>58</v>
      </c>
      <c r="JT43">
        <v>139</v>
      </c>
      <c r="JU43">
        <v>933</v>
      </c>
      <c r="JV43">
        <v>123</v>
      </c>
      <c r="JW43" s="28"/>
      <c r="JX43" s="28"/>
      <c r="JY43" s="28"/>
      <c r="JZ43" s="28"/>
      <c r="KA43" s="28">
        <v>2294.9999945599998</v>
      </c>
      <c r="KB43">
        <v>11590</v>
      </c>
      <c r="KC43">
        <v>0</v>
      </c>
      <c r="KD43">
        <v>0</v>
      </c>
      <c r="KE43">
        <v>0</v>
      </c>
      <c r="KF43">
        <v>1</v>
      </c>
      <c r="KG43">
        <v>0</v>
      </c>
      <c r="KH43">
        <v>6</v>
      </c>
      <c r="KI43">
        <v>0</v>
      </c>
      <c r="KJ43">
        <v>2478</v>
      </c>
      <c r="KK43">
        <v>8761</v>
      </c>
      <c r="KL43">
        <v>404</v>
      </c>
      <c r="KM43">
        <v>0</v>
      </c>
      <c r="KT43">
        <v>1856</v>
      </c>
      <c r="KU43">
        <v>1886</v>
      </c>
      <c r="KV43">
        <v>1619</v>
      </c>
      <c r="KW43">
        <v>147</v>
      </c>
      <c r="KX43">
        <v>18</v>
      </c>
      <c r="KZ43">
        <v>1636</v>
      </c>
      <c r="LA43">
        <v>161</v>
      </c>
      <c r="LB43">
        <v>18</v>
      </c>
      <c r="LD43">
        <v>1031</v>
      </c>
      <c r="LE43">
        <v>1067</v>
      </c>
      <c r="LF43">
        <v>581</v>
      </c>
      <c r="LG43">
        <v>800</v>
      </c>
      <c r="LH43">
        <v>7458</v>
      </c>
      <c r="LI43">
        <v>8</v>
      </c>
      <c r="LJ43">
        <v>713</v>
      </c>
      <c r="LK43">
        <v>107</v>
      </c>
      <c r="LL43">
        <v>883</v>
      </c>
      <c r="LM43">
        <v>1</v>
      </c>
      <c r="LN43">
        <v>441</v>
      </c>
      <c r="LO43">
        <v>65</v>
      </c>
      <c r="LP43">
        <v>5</v>
      </c>
      <c r="LQ43">
        <v>604</v>
      </c>
      <c r="LR43">
        <v>117</v>
      </c>
      <c r="LS43">
        <v>807</v>
      </c>
      <c r="LT43">
        <v>1</v>
      </c>
      <c r="LU43">
        <v>406</v>
      </c>
      <c r="LV43">
        <v>51</v>
      </c>
      <c r="LW43" s="44"/>
      <c r="LX43" s="44"/>
      <c r="LY43" s="44"/>
      <c r="LZ43">
        <v>2342</v>
      </c>
      <c r="MA43">
        <v>11643</v>
      </c>
      <c r="MB43" t="s">
        <v>359</v>
      </c>
      <c r="MC43" t="s">
        <v>359</v>
      </c>
      <c r="MD43" s="26">
        <v>18.517029000000001</v>
      </c>
      <c r="ME43" s="26">
        <v>5.3951370000000001</v>
      </c>
      <c r="MF43" s="26">
        <v>58.862966</v>
      </c>
      <c r="MG43" s="26">
        <v>14.360514999999999</v>
      </c>
      <c r="MH43" s="26">
        <v>20.922288999999999</v>
      </c>
      <c r="MI43" s="26">
        <v>2.5192139999999998</v>
      </c>
      <c r="MJ43" s="26">
        <v>1.921435</v>
      </c>
      <c r="MK43" s="26">
        <v>2.7754059999999998</v>
      </c>
      <c r="ML43" s="26">
        <v>2.0068319999999997</v>
      </c>
      <c r="MM43" s="26">
        <v>71.690862999999993</v>
      </c>
      <c r="MN43" s="26">
        <v>48.035866999999996</v>
      </c>
      <c r="MO43" s="26">
        <v>0.82583699999999993</v>
      </c>
      <c r="MP43" t="s">
        <v>1029</v>
      </c>
      <c r="MQ43">
        <v>441</v>
      </c>
      <c r="MR43">
        <v>40</v>
      </c>
    </row>
    <row r="44" spans="1:356">
      <c r="A44" t="s">
        <v>111</v>
      </c>
      <c r="B44" t="s">
        <v>112</v>
      </c>
      <c r="C44">
        <v>31464</v>
      </c>
      <c r="D44">
        <v>33444</v>
      </c>
      <c r="E44">
        <v>36333</v>
      </c>
      <c r="F44">
        <f t="shared" si="2"/>
        <v>2889</v>
      </c>
      <c r="G44" s="26">
        <f t="shared" si="3"/>
        <v>8.6383207750269122</v>
      </c>
      <c r="H44">
        <v>17711</v>
      </c>
      <c r="I44">
        <v>18622</v>
      </c>
      <c r="J44">
        <v>15296</v>
      </c>
      <c r="K44">
        <v>21037</v>
      </c>
      <c r="L44">
        <v>1734</v>
      </c>
      <c r="M44">
        <v>1810</v>
      </c>
      <c r="N44">
        <v>1750</v>
      </c>
      <c r="O44">
        <v>1596</v>
      </c>
      <c r="P44">
        <v>1403</v>
      </c>
      <c r="Q44">
        <v>1314</v>
      </c>
      <c r="R44">
        <v>1138</v>
      </c>
      <c r="S44">
        <v>1090</v>
      </c>
      <c r="T44">
        <v>1059</v>
      </c>
      <c r="U44">
        <v>999</v>
      </c>
      <c r="V44">
        <v>918</v>
      </c>
      <c r="W44">
        <v>754</v>
      </c>
      <c r="X44">
        <v>634</v>
      </c>
      <c r="Y44">
        <v>1500</v>
      </c>
      <c r="Z44">
        <v>12</v>
      </c>
      <c r="AA44">
        <v>1745</v>
      </c>
      <c r="AB44">
        <v>1822</v>
      </c>
      <c r="AC44">
        <v>1752</v>
      </c>
      <c r="AD44">
        <v>1616</v>
      </c>
      <c r="AE44">
        <v>1534</v>
      </c>
      <c r="AF44">
        <v>1525</v>
      </c>
      <c r="AG44">
        <v>1349</v>
      </c>
      <c r="AH44">
        <v>1250</v>
      </c>
      <c r="AI44">
        <v>1206</v>
      </c>
      <c r="AJ44">
        <v>1068</v>
      </c>
      <c r="AK44">
        <v>956</v>
      </c>
      <c r="AL44">
        <v>764</v>
      </c>
      <c r="AM44">
        <v>650</v>
      </c>
      <c r="AN44">
        <v>1373</v>
      </c>
      <c r="AO44">
        <v>12</v>
      </c>
      <c r="AP44">
        <v>34722</v>
      </c>
      <c r="AQ44">
        <v>884</v>
      </c>
      <c r="AR44">
        <v>73</v>
      </c>
      <c r="AS44">
        <v>621</v>
      </c>
      <c r="AT44">
        <v>33</v>
      </c>
      <c r="AU44">
        <v>71</v>
      </c>
      <c r="AV44">
        <v>36</v>
      </c>
      <c r="AW44">
        <v>35</v>
      </c>
      <c r="AX44">
        <v>88</v>
      </c>
      <c r="AY44">
        <v>82</v>
      </c>
      <c r="AZ44">
        <v>54</v>
      </c>
      <c r="BA44">
        <v>28</v>
      </c>
      <c r="BB44">
        <v>0</v>
      </c>
      <c r="BC44">
        <v>0</v>
      </c>
      <c r="BD44">
        <v>0</v>
      </c>
      <c r="BE44">
        <v>0</v>
      </c>
      <c r="BF44">
        <v>0</v>
      </c>
      <c r="BG44">
        <v>0</v>
      </c>
      <c r="BH44">
        <v>0</v>
      </c>
      <c r="BI44">
        <v>6</v>
      </c>
      <c r="BJ44">
        <v>0</v>
      </c>
      <c r="BK44">
        <v>4</v>
      </c>
      <c r="BL44">
        <v>4</v>
      </c>
      <c r="BM44">
        <v>4</v>
      </c>
      <c r="BN44">
        <v>5</v>
      </c>
      <c r="BO44">
        <v>6</v>
      </c>
      <c r="BP44">
        <v>3</v>
      </c>
      <c r="BQ44">
        <v>1</v>
      </c>
      <c r="BR44">
        <v>6</v>
      </c>
      <c r="BS44">
        <v>4</v>
      </c>
      <c r="BT44">
        <v>3</v>
      </c>
      <c r="BU44">
        <v>0</v>
      </c>
      <c r="BV44">
        <v>5</v>
      </c>
      <c r="BW44">
        <v>4</v>
      </c>
      <c r="BX44">
        <v>0</v>
      </c>
      <c r="BY44">
        <v>1</v>
      </c>
      <c r="BZ44">
        <v>0</v>
      </c>
      <c r="CA44">
        <v>3</v>
      </c>
      <c r="CB44">
        <v>10</v>
      </c>
      <c r="CC44">
        <v>2</v>
      </c>
      <c r="CD44">
        <v>36</v>
      </c>
      <c r="CE44">
        <v>35</v>
      </c>
      <c r="CF44">
        <v>0</v>
      </c>
      <c r="CG44">
        <v>0</v>
      </c>
      <c r="CH44">
        <v>6400</v>
      </c>
      <c r="CI44">
        <v>3162</v>
      </c>
      <c r="CJ44">
        <v>25001</v>
      </c>
      <c r="CK44">
        <v>11330</v>
      </c>
      <c r="CL44">
        <v>1028</v>
      </c>
      <c r="CM44">
        <v>1590</v>
      </c>
      <c r="CN44">
        <v>1856</v>
      </c>
      <c r="CO44">
        <v>2085</v>
      </c>
      <c r="CP44">
        <v>1441</v>
      </c>
      <c r="CQ44">
        <v>1562</v>
      </c>
      <c r="CR44">
        <v>6457</v>
      </c>
      <c r="CS44">
        <v>14178</v>
      </c>
      <c r="CT44">
        <v>3436</v>
      </c>
      <c r="CU44">
        <v>1049</v>
      </c>
      <c r="CV44">
        <v>386</v>
      </c>
      <c r="CW44">
        <v>1102</v>
      </c>
      <c r="CX44">
        <v>144</v>
      </c>
      <c r="CY44">
        <v>5689</v>
      </c>
      <c r="CZ44">
        <v>2749</v>
      </c>
      <c r="DA44">
        <v>67</v>
      </c>
      <c r="DB44">
        <v>1028</v>
      </c>
      <c r="DC44">
        <v>22</v>
      </c>
      <c r="DD44">
        <v>1622</v>
      </c>
      <c r="DE44">
        <v>2859</v>
      </c>
      <c r="DF44">
        <v>4513</v>
      </c>
      <c r="DG44">
        <v>12043</v>
      </c>
      <c r="DH44">
        <v>0</v>
      </c>
      <c r="DI44">
        <v>15296</v>
      </c>
      <c r="DJ44">
        <v>0</v>
      </c>
      <c r="DK44">
        <v>0</v>
      </c>
      <c r="DL44">
        <v>0</v>
      </c>
      <c r="DM44">
        <v>51</v>
      </c>
      <c r="DN44">
        <v>17</v>
      </c>
      <c r="DO44">
        <v>13</v>
      </c>
      <c r="DP44">
        <v>13</v>
      </c>
      <c r="DQ44">
        <v>0</v>
      </c>
      <c r="DR44">
        <v>2</v>
      </c>
      <c r="DS44">
        <v>0</v>
      </c>
      <c r="DT44">
        <v>0</v>
      </c>
      <c r="DU44">
        <v>0</v>
      </c>
      <c r="DV44">
        <v>899</v>
      </c>
      <c r="DW44">
        <v>956</v>
      </c>
      <c r="DX44">
        <v>1353</v>
      </c>
      <c r="DY44">
        <v>1476</v>
      </c>
      <c r="DZ44">
        <v>566</v>
      </c>
      <c r="EA44">
        <v>474</v>
      </c>
      <c r="EB44">
        <v>319</v>
      </c>
      <c r="EC44">
        <v>259</v>
      </c>
      <c r="ED44">
        <v>236</v>
      </c>
      <c r="EE44">
        <v>233</v>
      </c>
      <c r="EF44">
        <v>400</v>
      </c>
      <c r="EG44">
        <v>426</v>
      </c>
      <c r="EH44">
        <v>210</v>
      </c>
      <c r="EI44">
        <v>177</v>
      </c>
      <c r="EJ44">
        <v>1188</v>
      </c>
      <c r="EK44">
        <v>1843</v>
      </c>
      <c r="EL44">
        <v>641</v>
      </c>
      <c r="EM44">
        <v>357</v>
      </c>
      <c r="EN44">
        <v>299</v>
      </c>
      <c r="EO44">
        <v>522</v>
      </c>
      <c r="EP44">
        <v>235</v>
      </c>
      <c r="EQ44">
        <v>10401</v>
      </c>
      <c r="ER44">
        <v>10257</v>
      </c>
      <c r="ES44">
        <v>144</v>
      </c>
      <c r="ET44">
        <v>2946</v>
      </c>
      <c r="EU44">
        <v>7173</v>
      </c>
      <c r="EV44">
        <v>7106</v>
      </c>
      <c r="EW44">
        <v>67</v>
      </c>
      <c r="EX44">
        <v>7102</v>
      </c>
      <c r="EY44" s="26">
        <v>38.022992000000002</v>
      </c>
      <c r="EZ44" s="26">
        <v>9.5956830000000011</v>
      </c>
      <c r="FA44" s="26">
        <v>17.791506999999999</v>
      </c>
      <c r="FB44" s="26">
        <v>34.198796000000002</v>
      </c>
      <c r="FC44" s="26">
        <v>0.39102199999999998</v>
      </c>
      <c r="FD44">
        <v>2023</v>
      </c>
      <c r="FE44">
        <v>4806</v>
      </c>
      <c r="FF44">
        <v>740</v>
      </c>
      <c r="FG44">
        <v>3741</v>
      </c>
      <c r="FH44">
        <v>9</v>
      </c>
      <c r="FI44">
        <v>3344</v>
      </c>
      <c r="FJ44">
        <v>2885</v>
      </c>
      <c r="FK44" s="26" t="s">
        <v>359</v>
      </c>
      <c r="FL44" s="26" t="s">
        <v>359</v>
      </c>
      <c r="FM44" s="26" t="s">
        <v>359</v>
      </c>
      <c r="FN44" s="26" t="s">
        <v>359</v>
      </c>
      <c r="FO44" s="28">
        <v>10041</v>
      </c>
      <c r="FP44" s="28">
        <v>7655</v>
      </c>
      <c r="FQ44">
        <v>2045</v>
      </c>
      <c r="FR44">
        <v>1307</v>
      </c>
      <c r="FS44">
        <v>282</v>
      </c>
      <c r="FT44">
        <v>235</v>
      </c>
      <c r="FU44">
        <v>5895</v>
      </c>
      <c r="FV44">
        <v>193</v>
      </c>
      <c r="FW44">
        <v>112</v>
      </c>
      <c r="FX44">
        <v>15</v>
      </c>
      <c r="FY44">
        <v>11228</v>
      </c>
      <c r="FZ44">
        <v>7375</v>
      </c>
      <c r="GA44">
        <v>2163</v>
      </c>
      <c r="GB44">
        <v>1524</v>
      </c>
      <c r="GC44">
        <v>346</v>
      </c>
      <c r="GD44">
        <v>236</v>
      </c>
      <c r="GE44">
        <v>6667</v>
      </c>
      <c r="GF44">
        <v>195</v>
      </c>
      <c r="GG44">
        <v>143</v>
      </c>
      <c r="GH44">
        <v>19</v>
      </c>
      <c r="GI44">
        <v>873</v>
      </c>
      <c r="GJ44">
        <v>1071</v>
      </c>
      <c r="GK44">
        <v>1055</v>
      </c>
      <c r="GL44">
        <v>1004</v>
      </c>
      <c r="GM44">
        <v>748</v>
      </c>
      <c r="GN44">
        <v>691</v>
      </c>
      <c r="GO44">
        <v>592</v>
      </c>
      <c r="GP44">
        <v>581</v>
      </c>
      <c r="GQ44">
        <v>596</v>
      </c>
      <c r="GR44">
        <v>552</v>
      </c>
      <c r="GS44">
        <v>521</v>
      </c>
      <c r="GT44">
        <v>434</v>
      </c>
      <c r="GU44">
        <v>404</v>
      </c>
      <c r="GV44">
        <v>317</v>
      </c>
      <c r="GW44">
        <v>239</v>
      </c>
      <c r="GX44">
        <v>160</v>
      </c>
      <c r="GY44">
        <v>100</v>
      </c>
      <c r="GZ44">
        <v>103</v>
      </c>
      <c r="HA44">
        <v>871</v>
      </c>
      <c r="HB44">
        <v>1084</v>
      </c>
      <c r="HC44">
        <v>1021</v>
      </c>
      <c r="HD44">
        <v>1048</v>
      </c>
      <c r="HE44">
        <v>836</v>
      </c>
      <c r="HF44">
        <v>921</v>
      </c>
      <c r="HG44">
        <v>833</v>
      </c>
      <c r="HH44">
        <v>776</v>
      </c>
      <c r="HI44">
        <v>751</v>
      </c>
      <c r="HJ44">
        <v>653</v>
      </c>
      <c r="HK44">
        <v>605</v>
      </c>
      <c r="HL44">
        <v>521</v>
      </c>
      <c r="HM44">
        <v>419</v>
      </c>
      <c r="HN44">
        <v>304</v>
      </c>
      <c r="HO44">
        <v>216</v>
      </c>
      <c r="HP44">
        <v>173</v>
      </c>
      <c r="HQ44">
        <v>100</v>
      </c>
      <c r="HR44">
        <v>96</v>
      </c>
      <c r="HS44">
        <v>7385</v>
      </c>
      <c r="HT44">
        <v>24</v>
      </c>
      <c r="HU44">
        <v>84</v>
      </c>
      <c r="HV44">
        <v>0</v>
      </c>
      <c r="HW44">
        <v>14</v>
      </c>
      <c r="HX44">
        <v>0</v>
      </c>
      <c r="HY44">
        <v>0</v>
      </c>
      <c r="HZ44">
        <v>2</v>
      </c>
      <c r="IA44">
        <v>1016</v>
      </c>
      <c r="IB44">
        <v>1589</v>
      </c>
      <c r="IC44">
        <v>1855</v>
      </c>
      <c r="ID44">
        <v>2085</v>
      </c>
      <c r="IE44">
        <v>1441</v>
      </c>
      <c r="IF44">
        <v>782</v>
      </c>
      <c r="IG44">
        <v>385</v>
      </c>
      <c r="IH44">
        <v>192</v>
      </c>
      <c r="II44">
        <v>203</v>
      </c>
      <c r="IJ44">
        <v>1598</v>
      </c>
      <c r="IK44">
        <v>2569</v>
      </c>
      <c r="IL44">
        <v>2427</v>
      </c>
      <c r="IM44">
        <v>1757</v>
      </c>
      <c r="IN44">
        <v>767</v>
      </c>
      <c r="IO44">
        <v>297</v>
      </c>
      <c r="IP44">
        <v>74</v>
      </c>
      <c r="IQ44">
        <v>32</v>
      </c>
      <c r="IR44">
        <v>20</v>
      </c>
      <c r="IS44">
        <v>4600</v>
      </c>
      <c r="IT44">
        <v>3372</v>
      </c>
      <c r="IU44">
        <v>1267</v>
      </c>
      <c r="IV44">
        <v>260</v>
      </c>
      <c r="IW44">
        <v>42</v>
      </c>
      <c r="IX44">
        <v>1892</v>
      </c>
      <c r="IY44">
        <v>407</v>
      </c>
      <c r="IZ44">
        <v>27</v>
      </c>
      <c r="JA44">
        <v>269</v>
      </c>
      <c r="JB44">
        <v>32</v>
      </c>
      <c r="JC44">
        <v>570</v>
      </c>
      <c r="JD44">
        <v>9102</v>
      </c>
      <c r="JE44">
        <v>439</v>
      </c>
      <c r="JF44">
        <v>7</v>
      </c>
      <c r="JH44" s="28">
        <v>7213.6078161074665</v>
      </c>
      <c r="JI44" s="28">
        <v>803.49353397375035</v>
      </c>
      <c r="JJ44">
        <v>928</v>
      </c>
      <c r="JK44">
        <v>8023</v>
      </c>
      <c r="JL44">
        <v>590</v>
      </c>
      <c r="JM44">
        <v>7</v>
      </c>
      <c r="JN44">
        <v>7328</v>
      </c>
      <c r="JO44">
        <v>3914</v>
      </c>
      <c r="JP44">
        <v>1913</v>
      </c>
      <c r="JQ44">
        <v>5685</v>
      </c>
      <c r="JR44">
        <v>7937</v>
      </c>
      <c r="JS44">
        <v>1125</v>
      </c>
      <c r="JT44">
        <v>900</v>
      </c>
      <c r="JU44">
        <v>6783</v>
      </c>
      <c r="JV44">
        <v>1027</v>
      </c>
      <c r="JW44" s="28"/>
      <c r="JX44" s="28"/>
      <c r="JY44" s="28"/>
      <c r="JZ44" s="28"/>
      <c r="KA44" s="28">
        <v>9409.9999870800002</v>
      </c>
      <c r="KB44">
        <v>28651</v>
      </c>
      <c r="KC44">
        <v>85</v>
      </c>
      <c r="KD44">
        <v>237</v>
      </c>
      <c r="KE44">
        <v>0</v>
      </c>
      <c r="KF44">
        <v>17</v>
      </c>
      <c r="KG44">
        <v>0</v>
      </c>
      <c r="KH44">
        <v>0</v>
      </c>
      <c r="KI44">
        <v>4</v>
      </c>
      <c r="KJ44">
        <v>3483</v>
      </c>
      <c r="KK44">
        <v>30571</v>
      </c>
      <c r="KL44">
        <v>2236</v>
      </c>
      <c r="KM44">
        <v>24</v>
      </c>
      <c r="KT44">
        <v>4850</v>
      </c>
      <c r="KU44">
        <v>4896</v>
      </c>
      <c r="KV44">
        <v>3706</v>
      </c>
      <c r="KW44">
        <v>663</v>
      </c>
      <c r="KX44">
        <v>363</v>
      </c>
      <c r="KZ44">
        <v>3785</v>
      </c>
      <c r="LA44">
        <v>672</v>
      </c>
      <c r="LB44">
        <v>336</v>
      </c>
      <c r="LD44">
        <v>2688</v>
      </c>
      <c r="LE44">
        <v>2708</v>
      </c>
      <c r="LF44">
        <v>1277</v>
      </c>
      <c r="LG44">
        <v>1916</v>
      </c>
      <c r="LH44">
        <v>25696</v>
      </c>
      <c r="LI44">
        <v>67</v>
      </c>
      <c r="LJ44">
        <v>1479</v>
      </c>
      <c r="LK44">
        <v>422</v>
      </c>
      <c r="LL44">
        <v>2450</v>
      </c>
      <c r="LM44">
        <v>5</v>
      </c>
      <c r="LN44">
        <v>2050</v>
      </c>
      <c r="LO44">
        <v>1511</v>
      </c>
      <c r="LP44">
        <v>73</v>
      </c>
      <c r="LQ44">
        <v>1708</v>
      </c>
      <c r="LR44">
        <v>385</v>
      </c>
      <c r="LS44">
        <v>2960</v>
      </c>
      <c r="LT44">
        <v>15</v>
      </c>
      <c r="LU44">
        <v>1949</v>
      </c>
      <c r="LV44">
        <v>1341</v>
      </c>
      <c r="LW44" s="44"/>
      <c r="LX44" s="44"/>
      <c r="LY44" s="44"/>
      <c r="LZ44">
        <v>9548</v>
      </c>
      <c r="MA44">
        <v>36314</v>
      </c>
      <c r="MB44">
        <v>35017</v>
      </c>
      <c r="MC44">
        <v>100</v>
      </c>
      <c r="MD44" s="26">
        <v>12.426058999999999</v>
      </c>
      <c r="ME44" s="26">
        <v>10.507415999999999</v>
      </c>
      <c r="MF44" s="26">
        <v>42.469645</v>
      </c>
      <c r="MG44" s="26">
        <v>41.367351999999997</v>
      </c>
      <c r="MH44" s="26">
        <v>9.7193129999999996</v>
      </c>
      <c r="MI44" s="26">
        <v>4.6816089999999999</v>
      </c>
      <c r="MJ44" s="26">
        <v>16.788855999999999</v>
      </c>
      <c r="MK44" s="26">
        <v>4.5978219999999999</v>
      </c>
      <c r="ML44" s="26">
        <v>1.4453289999999999</v>
      </c>
      <c r="MM44" s="26">
        <v>59.007121999999995</v>
      </c>
      <c r="MN44" s="26">
        <v>23.250942999999999</v>
      </c>
      <c r="MO44" s="26">
        <v>0.181587</v>
      </c>
      <c r="MP44" t="s">
        <v>1029</v>
      </c>
      <c r="MQ44">
        <v>855</v>
      </c>
      <c r="MR44">
        <v>78</v>
      </c>
    </row>
    <row r="45" spans="1:356">
      <c r="A45" t="s">
        <v>115</v>
      </c>
      <c r="B45" t="s">
        <v>116</v>
      </c>
      <c r="C45">
        <v>20041</v>
      </c>
      <c r="D45">
        <v>22536</v>
      </c>
      <c r="E45">
        <v>27893</v>
      </c>
      <c r="F45">
        <f t="shared" si="2"/>
        <v>5357</v>
      </c>
      <c r="G45" s="26">
        <f t="shared" si="3"/>
        <v>23.770855520056799</v>
      </c>
      <c r="H45">
        <v>13995</v>
      </c>
      <c r="I45">
        <v>13898</v>
      </c>
      <c r="J45">
        <v>3508</v>
      </c>
      <c r="K45">
        <v>24385</v>
      </c>
      <c r="L45">
        <v>1677</v>
      </c>
      <c r="M45">
        <v>1880</v>
      </c>
      <c r="N45">
        <v>1641</v>
      </c>
      <c r="O45">
        <v>1437</v>
      </c>
      <c r="P45">
        <v>1170</v>
      </c>
      <c r="Q45">
        <v>1041</v>
      </c>
      <c r="R45">
        <v>977</v>
      </c>
      <c r="S45">
        <v>908</v>
      </c>
      <c r="T45">
        <v>752</v>
      </c>
      <c r="U45">
        <v>595</v>
      </c>
      <c r="V45">
        <v>461</v>
      </c>
      <c r="W45">
        <v>397</v>
      </c>
      <c r="X45">
        <v>299</v>
      </c>
      <c r="Y45">
        <v>760</v>
      </c>
      <c r="Z45">
        <v>0</v>
      </c>
      <c r="AA45">
        <v>1700</v>
      </c>
      <c r="AB45">
        <v>1752</v>
      </c>
      <c r="AC45">
        <v>1624</v>
      </c>
      <c r="AD45">
        <v>1422</v>
      </c>
      <c r="AE45">
        <v>1206</v>
      </c>
      <c r="AF45">
        <v>1124</v>
      </c>
      <c r="AG45">
        <v>1039</v>
      </c>
      <c r="AH45">
        <v>908</v>
      </c>
      <c r="AI45">
        <v>708</v>
      </c>
      <c r="AJ45">
        <v>556</v>
      </c>
      <c r="AK45">
        <v>435</v>
      </c>
      <c r="AL45">
        <v>383</v>
      </c>
      <c r="AM45">
        <v>310</v>
      </c>
      <c r="AN45">
        <v>731</v>
      </c>
      <c r="AO45">
        <v>0</v>
      </c>
      <c r="AP45">
        <v>27796</v>
      </c>
      <c r="AQ45">
        <v>85</v>
      </c>
      <c r="AR45">
        <v>4</v>
      </c>
      <c r="AS45">
        <v>8</v>
      </c>
      <c r="AT45">
        <v>0</v>
      </c>
      <c r="AU45">
        <v>13860</v>
      </c>
      <c r="AV45">
        <v>7090</v>
      </c>
      <c r="AW45">
        <v>6770</v>
      </c>
      <c r="AX45">
        <v>11743</v>
      </c>
      <c r="AY45">
        <v>13016</v>
      </c>
      <c r="AZ45">
        <v>11990</v>
      </c>
      <c r="BA45">
        <v>1026</v>
      </c>
      <c r="BB45">
        <v>244</v>
      </c>
      <c r="BC45">
        <v>237</v>
      </c>
      <c r="BD45">
        <v>761</v>
      </c>
      <c r="BE45">
        <v>721</v>
      </c>
      <c r="BF45">
        <v>743</v>
      </c>
      <c r="BG45">
        <v>674</v>
      </c>
      <c r="BH45">
        <v>684</v>
      </c>
      <c r="BI45">
        <v>651</v>
      </c>
      <c r="BJ45">
        <v>582</v>
      </c>
      <c r="BK45">
        <v>565</v>
      </c>
      <c r="BL45">
        <v>595</v>
      </c>
      <c r="BM45">
        <v>577</v>
      </c>
      <c r="BN45">
        <v>545</v>
      </c>
      <c r="BO45">
        <v>583</v>
      </c>
      <c r="BP45">
        <v>548</v>
      </c>
      <c r="BQ45">
        <v>525</v>
      </c>
      <c r="BR45">
        <v>464</v>
      </c>
      <c r="BS45">
        <v>427</v>
      </c>
      <c r="BT45">
        <v>407</v>
      </c>
      <c r="BU45">
        <v>391</v>
      </c>
      <c r="BV45">
        <v>339</v>
      </c>
      <c r="BW45">
        <v>314</v>
      </c>
      <c r="BX45">
        <v>299</v>
      </c>
      <c r="BY45">
        <v>281</v>
      </c>
      <c r="BZ45">
        <v>243</v>
      </c>
      <c r="CA45">
        <v>230</v>
      </c>
      <c r="CB45">
        <v>636</v>
      </c>
      <c r="CC45">
        <v>594</v>
      </c>
      <c r="CD45">
        <v>6579</v>
      </c>
      <c r="CE45">
        <v>5813</v>
      </c>
      <c r="CF45">
        <v>473</v>
      </c>
      <c r="CG45">
        <v>902</v>
      </c>
      <c r="CH45">
        <v>5353</v>
      </c>
      <c r="CI45">
        <v>925</v>
      </c>
      <c r="CJ45">
        <v>24553</v>
      </c>
      <c r="CK45">
        <v>3317</v>
      </c>
      <c r="CL45">
        <v>317</v>
      </c>
      <c r="CM45">
        <v>893</v>
      </c>
      <c r="CN45">
        <v>1156</v>
      </c>
      <c r="CO45">
        <v>1257</v>
      </c>
      <c r="CP45">
        <v>944</v>
      </c>
      <c r="CQ45">
        <v>1711</v>
      </c>
      <c r="CR45">
        <v>5178</v>
      </c>
      <c r="CS45">
        <v>13647</v>
      </c>
      <c r="CT45">
        <v>1455</v>
      </c>
      <c r="CU45">
        <v>577</v>
      </c>
      <c r="CV45">
        <v>284</v>
      </c>
      <c r="CW45">
        <v>440</v>
      </c>
      <c r="CX45">
        <v>11</v>
      </c>
      <c r="CY45">
        <v>4629</v>
      </c>
      <c r="CZ45">
        <v>1323</v>
      </c>
      <c r="DA45">
        <v>7</v>
      </c>
      <c r="DB45">
        <v>317</v>
      </c>
      <c r="DC45">
        <v>2</v>
      </c>
      <c r="DD45">
        <v>1093</v>
      </c>
      <c r="DE45">
        <v>4771</v>
      </c>
      <c r="DF45">
        <v>5238</v>
      </c>
      <c r="DG45">
        <v>13283</v>
      </c>
      <c r="DH45">
        <v>3508</v>
      </c>
      <c r="DI45">
        <v>0</v>
      </c>
      <c r="DJ45">
        <v>0</v>
      </c>
      <c r="DK45">
        <v>0</v>
      </c>
      <c r="DL45">
        <v>0</v>
      </c>
      <c r="DM45">
        <v>36</v>
      </c>
      <c r="DN45">
        <v>26</v>
      </c>
      <c r="DO45">
        <v>15</v>
      </c>
      <c r="DP45">
        <v>15</v>
      </c>
      <c r="DQ45">
        <v>1</v>
      </c>
      <c r="DR45">
        <v>0</v>
      </c>
      <c r="DS45">
        <v>0</v>
      </c>
      <c r="DT45">
        <v>0</v>
      </c>
      <c r="DU45">
        <v>0</v>
      </c>
      <c r="DV45">
        <v>705</v>
      </c>
      <c r="DW45">
        <v>699</v>
      </c>
      <c r="DX45">
        <v>803</v>
      </c>
      <c r="DY45">
        <v>776</v>
      </c>
      <c r="DZ45">
        <v>575</v>
      </c>
      <c r="EA45">
        <v>514</v>
      </c>
      <c r="EB45">
        <v>362</v>
      </c>
      <c r="EC45">
        <v>280</v>
      </c>
      <c r="ED45">
        <v>251</v>
      </c>
      <c r="EE45">
        <v>246</v>
      </c>
      <c r="EF45">
        <v>335</v>
      </c>
      <c r="EG45">
        <v>329</v>
      </c>
      <c r="EH45">
        <v>155</v>
      </c>
      <c r="EI45">
        <v>123</v>
      </c>
      <c r="EJ45">
        <v>910</v>
      </c>
      <c r="EK45">
        <v>998</v>
      </c>
      <c r="EL45">
        <v>675</v>
      </c>
      <c r="EM45">
        <v>381</v>
      </c>
      <c r="EN45">
        <v>281</v>
      </c>
      <c r="EO45">
        <v>410</v>
      </c>
      <c r="EP45">
        <v>202</v>
      </c>
      <c r="EQ45">
        <v>8157</v>
      </c>
      <c r="ER45">
        <v>8064</v>
      </c>
      <c r="ES45">
        <v>93</v>
      </c>
      <c r="ET45">
        <v>1546</v>
      </c>
      <c r="EU45">
        <v>3536</v>
      </c>
      <c r="EV45">
        <v>3521</v>
      </c>
      <c r="EW45">
        <v>15</v>
      </c>
      <c r="EX45">
        <v>6185</v>
      </c>
      <c r="EY45" s="26">
        <v>78.877578</v>
      </c>
      <c r="EZ45" s="26">
        <v>6.4693269999999998</v>
      </c>
      <c r="FA45" s="26">
        <v>5.8665950000000002</v>
      </c>
      <c r="FB45" s="26">
        <v>8.6793460000000007</v>
      </c>
      <c r="FC45" s="26">
        <v>0.107152</v>
      </c>
      <c r="FD45">
        <v>1677</v>
      </c>
      <c r="FE45">
        <v>4689</v>
      </c>
      <c r="FF45">
        <v>621</v>
      </c>
      <c r="FG45">
        <v>2869</v>
      </c>
      <c r="FH45">
        <v>4</v>
      </c>
      <c r="FI45">
        <v>1513</v>
      </c>
      <c r="FJ45">
        <v>312</v>
      </c>
      <c r="FK45" s="26" t="s">
        <v>359</v>
      </c>
      <c r="FL45" s="26" t="s">
        <v>359</v>
      </c>
      <c r="FM45" s="26" t="s">
        <v>359</v>
      </c>
      <c r="FN45" s="26" t="s">
        <v>359</v>
      </c>
      <c r="FO45" s="28">
        <v>9071</v>
      </c>
      <c r="FP45" s="28">
        <v>4924</v>
      </c>
      <c r="FQ45">
        <v>617</v>
      </c>
      <c r="FR45">
        <v>116</v>
      </c>
      <c r="FS45">
        <v>22</v>
      </c>
      <c r="FT45">
        <v>18</v>
      </c>
      <c r="FU45">
        <v>8339</v>
      </c>
      <c r="FV45">
        <v>11</v>
      </c>
      <c r="FW45">
        <v>10</v>
      </c>
      <c r="FX45">
        <v>0</v>
      </c>
      <c r="FY45">
        <v>9539</v>
      </c>
      <c r="FZ45">
        <v>4357</v>
      </c>
      <c r="GA45">
        <v>582</v>
      </c>
      <c r="GB45">
        <v>113</v>
      </c>
      <c r="GC45">
        <v>16</v>
      </c>
      <c r="GD45">
        <v>14</v>
      </c>
      <c r="GE45">
        <v>8884</v>
      </c>
      <c r="GF45">
        <v>4</v>
      </c>
      <c r="GG45">
        <v>6</v>
      </c>
      <c r="GH45">
        <v>2</v>
      </c>
      <c r="GI45">
        <v>859</v>
      </c>
      <c r="GJ45">
        <v>1321</v>
      </c>
      <c r="GK45">
        <v>1180</v>
      </c>
      <c r="GL45">
        <v>933</v>
      </c>
      <c r="GM45">
        <v>699</v>
      </c>
      <c r="GN45">
        <v>652</v>
      </c>
      <c r="GO45">
        <v>677</v>
      </c>
      <c r="GP45">
        <v>609</v>
      </c>
      <c r="GQ45">
        <v>517</v>
      </c>
      <c r="GR45">
        <v>399</v>
      </c>
      <c r="GS45">
        <v>310</v>
      </c>
      <c r="GT45">
        <v>243</v>
      </c>
      <c r="GU45">
        <v>184</v>
      </c>
      <c r="GV45">
        <v>160</v>
      </c>
      <c r="GW45">
        <v>141</v>
      </c>
      <c r="GX45">
        <v>89</v>
      </c>
      <c r="GY45">
        <v>50</v>
      </c>
      <c r="GZ45">
        <v>48</v>
      </c>
      <c r="HA45">
        <v>894</v>
      </c>
      <c r="HB45">
        <v>1219</v>
      </c>
      <c r="HC45">
        <v>1136</v>
      </c>
      <c r="HD45">
        <v>896</v>
      </c>
      <c r="HE45">
        <v>805</v>
      </c>
      <c r="HF45">
        <v>838</v>
      </c>
      <c r="HG45">
        <v>792</v>
      </c>
      <c r="HH45">
        <v>677</v>
      </c>
      <c r="HI45">
        <v>543</v>
      </c>
      <c r="HJ45">
        <v>419</v>
      </c>
      <c r="HK45">
        <v>309</v>
      </c>
      <c r="HL45">
        <v>273</v>
      </c>
      <c r="HM45">
        <v>215</v>
      </c>
      <c r="HN45">
        <v>223</v>
      </c>
      <c r="HO45">
        <v>107</v>
      </c>
      <c r="HP45">
        <v>93</v>
      </c>
      <c r="HQ45">
        <v>47</v>
      </c>
      <c r="HR45">
        <v>53</v>
      </c>
      <c r="HS45">
        <v>5234</v>
      </c>
      <c r="HT45">
        <v>0</v>
      </c>
      <c r="HU45">
        <v>2</v>
      </c>
      <c r="HV45">
        <v>0</v>
      </c>
      <c r="HW45">
        <v>5</v>
      </c>
      <c r="HX45">
        <v>0</v>
      </c>
      <c r="HY45">
        <v>1</v>
      </c>
      <c r="HZ45">
        <v>0</v>
      </c>
      <c r="IA45">
        <v>317</v>
      </c>
      <c r="IB45">
        <v>890</v>
      </c>
      <c r="IC45">
        <v>1156</v>
      </c>
      <c r="ID45">
        <v>1255</v>
      </c>
      <c r="IE45">
        <v>944</v>
      </c>
      <c r="IF45">
        <v>684</v>
      </c>
      <c r="IG45">
        <v>437</v>
      </c>
      <c r="IH45">
        <v>260</v>
      </c>
      <c r="II45">
        <v>329</v>
      </c>
      <c r="IJ45">
        <v>819</v>
      </c>
      <c r="IK45">
        <v>2281</v>
      </c>
      <c r="IL45">
        <v>1829</v>
      </c>
      <c r="IM45">
        <v>839</v>
      </c>
      <c r="IN45">
        <v>368</v>
      </c>
      <c r="IO45">
        <v>107</v>
      </c>
      <c r="IP45">
        <v>14</v>
      </c>
      <c r="IQ45">
        <v>9</v>
      </c>
      <c r="IR45">
        <v>5</v>
      </c>
      <c r="IS45">
        <v>3347</v>
      </c>
      <c r="IT45">
        <v>2040</v>
      </c>
      <c r="IU45">
        <v>681</v>
      </c>
      <c r="IV45">
        <v>171</v>
      </c>
      <c r="IW45">
        <v>32</v>
      </c>
      <c r="IX45">
        <v>1554</v>
      </c>
      <c r="IY45">
        <v>2726</v>
      </c>
      <c r="IZ45">
        <v>11</v>
      </c>
      <c r="JA45">
        <v>91</v>
      </c>
      <c r="JB45">
        <v>2</v>
      </c>
      <c r="JC45">
        <v>100</v>
      </c>
      <c r="JD45">
        <v>5142</v>
      </c>
      <c r="JE45">
        <v>1129</v>
      </c>
      <c r="JF45">
        <v>1</v>
      </c>
      <c r="JH45" s="28">
        <v>4418.028812146993</v>
      </c>
      <c r="JI45" s="28">
        <v>106.1013814031877</v>
      </c>
      <c r="JJ45">
        <v>1666</v>
      </c>
      <c r="JK45">
        <v>4445</v>
      </c>
      <c r="JL45">
        <v>160</v>
      </c>
      <c r="JM45">
        <v>1</v>
      </c>
      <c r="JN45">
        <v>2484</v>
      </c>
      <c r="JO45">
        <v>591</v>
      </c>
      <c r="JP45">
        <v>250</v>
      </c>
      <c r="JQ45">
        <v>1858</v>
      </c>
      <c r="JR45">
        <v>3802</v>
      </c>
      <c r="JS45">
        <v>121</v>
      </c>
      <c r="JT45">
        <v>63</v>
      </c>
      <c r="JU45">
        <v>2032</v>
      </c>
      <c r="JV45">
        <v>225</v>
      </c>
      <c r="JW45" s="28"/>
      <c r="JX45" s="28"/>
      <c r="JY45" s="28"/>
      <c r="JZ45" s="28"/>
      <c r="KA45" s="28">
        <v>6192.0000128000001</v>
      </c>
      <c r="KB45">
        <v>23817</v>
      </c>
      <c r="KC45">
        <v>0</v>
      </c>
      <c r="KD45">
        <v>7</v>
      </c>
      <c r="KE45">
        <v>0</v>
      </c>
      <c r="KF45">
        <v>18</v>
      </c>
      <c r="KG45">
        <v>0</v>
      </c>
      <c r="KH45">
        <v>2</v>
      </c>
      <c r="KI45">
        <v>0</v>
      </c>
      <c r="KJ45">
        <v>7896</v>
      </c>
      <c r="KK45">
        <v>19352</v>
      </c>
      <c r="KL45">
        <v>601</v>
      </c>
      <c r="KM45">
        <v>1</v>
      </c>
      <c r="KT45">
        <v>4235</v>
      </c>
      <c r="KU45">
        <v>4043</v>
      </c>
      <c r="KV45">
        <v>3726</v>
      </c>
      <c r="KW45">
        <v>326</v>
      </c>
      <c r="KX45">
        <v>33</v>
      </c>
      <c r="KZ45">
        <v>3544</v>
      </c>
      <c r="LA45">
        <v>289</v>
      </c>
      <c r="LB45">
        <v>39</v>
      </c>
      <c r="LD45">
        <v>2256</v>
      </c>
      <c r="LE45">
        <v>2204</v>
      </c>
      <c r="LF45">
        <v>1440</v>
      </c>
      <c r="LG45">
        <v>2391</v>
      </c>
      <c r="LH45">
        <v>17619</v>
      </c>
      <c r="LI45">
        <v>14</v>
      </c>
      <c r="LJ45">
        <v>1781</v>
      </c>
      <c r="LK45">
        <v>374</v>
      </c>
      <c r="LL45">
        <v>2175</v>
      </c>
      <c r="LM45">
        <v>1</v>
      </c>
      <c r="LN45">
        <v>1019</v>
      </c>
      <c r="LO45">
        <v>118</v>
      </c>
      <c r="LP45">
        <v>21</v>
      </c>
      <c r="LQ45">
        <v>1625</v>
      </c>
      <c r="LR45">
        <v>372</v>
      </c>
      <c r="LS45">
        <v>2206</v>
      </c>
      <c r="LT45">
        <v>10</v>
      </c>
      <c r="LU45">
        <v>687</v>
      </c>
      <c r="LV45">
        <v>88</v>
      </c>
      <c r="LW45" s="44"/>
      <c r="LX45" s="44"/>
      <c r="LY45" s="44"/>
      <c r="LZ45">
        <v>6272</v>
      </c>
      <c r="MA45">
        <v>27850</v>
      </c>
      <c r="MB45">
        <v>23172</v>
      </c>
      <c r="MC45">
        <v>11084</v>
      </c>
      <c r="MD45" s="26">
        <v>21.743572</v>
      </c>
      <c r="ME45" s="26">
        <v>11.129189999999999</v>
      </c>
      <c r="MF45" s="26">
        <v>58.896645999999997</v>
      </c>
      <c r="MG45" s="26">
        <v>33.273581</v>
      </c>
      <c r="MH45" s="26">
        <v>26.5625</v>
      </c>
      <c r="MI45" s="26">
        <v>2.5988519999999999</v>
      </c>
      <c r="MJ45" s="26">
        <v>5.2774229999999998</v>
      </c>
      <c r="MK45" s="26">
        <v>18.000637999999999</v>
      </c>
      <c r="ML45" s="26">
        <v>1.2755099999999999</v>
      </c>
      <c r="MM45" s="26">
        <v>90.577168</v>
      </c>
      <c r="MN45" s="26">
        <v>60.395407999999996</v>
      </c>
      <c r="MO45" s="26">
        <v>1.3891749999999998</v>
      </c>
      <c r="MP45" t="s">
        <v>1028</v>
      </c>
      <c r="MQ45">
        <v>253</v>
      </c>
      <c r="MR45">
        <v>27</v>
      </c>
    </row>
    <row r="46" spans="1:356">
      <c r="A46" t="s">
        <v>113</v>
      </c>
      <c r="B46" t="s">
        <v>114</v>
      </c>
      <c r="C46">
        <v>18630</v>
      </c>
      <c r="D46">
        <v>21507</v>
      </c>
      <c r="E46">
        <v>22975</v>
      </c>
      <c r="F46">
        <f t="shared" si="2"/>
        <v>1468</v>
      </c>
      <c r="G46" s="26">
        <f t="shared" si="3"/>
        <v>6.8256846608081077</v>
      </c>
      <c r="H46">
        <v>11264</v>
      </c>
      <c r="I46">
        <v>11711</v>
      </c>
      <c r="J46">
        <v>0</v>
      </c>
      <c r="K46">
        <v>22975</v>
      </c>
      <c r="L46">
        <v>1457</v>
      </c>
      <c r="M46">
        <v>1454</v>
      </c>
      <c r="N46">
        <v>1444</v>
      </c>
      <c r="O46">
        <v>1143</v>
      </c>
      <c r="P46">
        <v>928</v>
      </c>
      <c r="Q46">
        <v>801</v>
      </c>
      <c r="R46">
        <v>665</v>
      </c>
      <c r="S46">
        <v>588</v>
      </c>
      <c r="T46">
        <v>536</v>
      </c>
      <c r="U46">
        <v>520</v>
      </c>
      <c r="V46">
        <v>428</v>
      </c>
      <c r="W46">
        <v>305</v>
      </c>
      <c r="X46">
        <v>256</v>
      </c>
      <c r="Y46">
        <v>738</v>
      </c>
      <c r="Z46">
        <v>1</v>
      </c>
      <c r="AA46">
        <v>1313</v>
      </c>
      <c r="AB46">
        <v>1404</v>
      </c>
      <c r="AC46">
        <v>1425</v>
      </c>
      <c r="AD46">
        <v>1251</v>
      </c>
      <c r="AE46">
        <v>1057</v>
      </c>
      <c r="AF46">
        <v>957</v>
      </c>
      <c r="AG46">
        <v>721</v>
      </c>
      <c r="AH46">
        <v>704</v>
      </c>
      <c r="AI46">
        <v>565</v>
      </c>
      <c r="AJ46">
        <v>528</v>
      </c>
      <c r="AK46">
        <v>433</v>
      </c>
      <c r="AL46">
        <v>328</v>
      </c>
      <c r="AM46">
        <v>278</v>
      </c>
      <c r="AN46">
        <v>745</v>
      </c>
      <c r="AO46">
        <v>2</v>
      </c>
      <c r="AP46">
        <v>22914</v>
      </c>
      <c r="AQ46">
        <v>43</v>
      </c>
      <c r="AR46">
        <v>3</v>
      </c>
      <c r="AS46">
        <v>2</v>
      </c>
      <c r="AT46">
        <v>13</v>
      </c>
      <c r="AU46">
        <v>19811</v>
      </c>
      <c r="AV46">
        <v>9686</v>
      </c>
      <c r="AW46">
        <v>10125</v>
      </c>
      <c r="AX46">
        <v>14244</v>
      </c>
      <c r="AY46">
        <v>18611</v>
      </c>
      <c r="AZ46">
        <v>18611</v>
      </c>
      <c r="BA46">
        <v>0</v>
      </c>
      <c r="BB46">
        <v>533</v>
      </c>
      <c r="BC46">
        <v>467</v>
      </c>
      <c r="BD46">
        <v>1315</v>
      </c>
      <c r="BE46">
        <v>1244</v>
      </c>
      <c r="BF46">
        <v>1306</v>
      </c>
      <c r="BG46">
        <v>1322</v>
      </c>
      <c r="BH46">
        <v>1057</v>
      </c>
      <c r="BI46">
        <v>1163</v>
      </c>
      <c r="BJ46">
        <v>872</v>
      </c>
      <c r="BK46">
        <v>970</v>
      </c>
      <c r="BL46">
        <v>753</v>
      </c>
      <c r="BM46">
        <v>890</v>
      </c>
      <c r="BN46">
        <v>633</v>
      </c>
      <c r="BO46">
        <v>681</v>
      </c>
      <c r="BP46">
        <v>550</v>
      </c>
      <c r="BQ46">
        <v>659</v>
      </c>
      <c r="BR46">
        <v>512</v>
      </c>
      <c r="BS46">
        <v>525</v>
      </c>
      <c r="BT46">
        <v>491</v>
      </c>
      <c r="BU46">
        <v>495</v>
      </c>
      <c r="BV46">
        <v>411</v>
      </c>
      <c r="BW46">
        <v>415</v>
      </c>
      <c r="BX46">
        <v>295</v>
      </c>
      <c r="BY46">
        <v>312</v>
      </c>
      <c r="BZ46">
        <v>248</v>
      </c>
      <c r="CA46">
        <v>266</v>
      </c>
      <c r="CB46">
        <v>710</v>
      </c>
      <c r="CC46">
        <v>716</v>
      </c>
      <c r="CD46">
        <v>7944</v>
      </c>
      <c r="CE46">
        <v>7049</v>
      </c>
      <c r="CF46">
        <v>1621</v>
      </c>
      <c r="CG46">
        <v>2889</v>
      </c>
      <c r="CH46">
        <v>3944</v>
      </c>
      <c r="CI46">
        <v>655</v>
      </c>
      <c r="CJ46">
        <v>20509</v>
      </c>
      <c r="CK46">
        <v>2418</v>
      </c>
      <c r="CL46">
        <v>241</v>
      </c>
      <c r="CM46">
        <v>580</v>
      </c>
      <c r="CN46">
        <v>610</v>
      </c>
      <c r="CO46">
        <v>751</v>
      </c>
      <c r="CP46">
        <v>703</v>
      </c>
      <c r="CQ46">
        <v>1714</v>
      </c>
      <c r="CR46">
        <v>3759</v>
      </c>
      <c r="CS46">
        <v>11811</v>
      </c>
      <c r="CT46">
        <v>1453</v>
      </c>
      <c r="CU46">
        <v>660</v>
      </c>
      <c r="CV46">
        <v>278</v>
      </c>
      <c r="CW46">
        <v>326</v>
      </c>
      <c r="CX46">
        <v>18</v>
      </c>
      <c r="CY46">
        <v>3208</v>
      </c>
      <c r="CZ46">
        <v>1122</v>
      </c>
      <c r="DA46">
        <v>10</v>
      </c>
      <c r="DB46">
        <v>241</v>
      </c>
      <c r="DC46">
        <v>2</v>
      </c>
      <c r="DD46">
        <v>856</v>
      </c>
      <c r="DE46">
        <v>3267</v>
      </c>
      <c r="DF46">
        <v>3970</v>
      </c>
      <c r="DG46">
        <v>14882</v>
      </c>
      <c r="DH46">
        <v>0</v>
      </c>
      <c r="DI46">
        <v>0</v>
      </c>
      <c r="DJ46">
        <v>0</v>
      </c>
      <c r="DK46">
        <v>0</v>
      </c>
      <c r="DL46">
        <v>0</v>
      </c>
      <c r="DM46">
        <v>19</v>
      </c>
      <c r="DN46">
        <v>20</v>
      </c>
      <c r="DO46">
        <v>11</v>
      </c>
      <c r="DP46">
        <v>16</v>
      </c>
      <c r="DQ46">
        <v>0</v>
      </c>
      <c r="DR46">
        <v>0</v>
      </c>
      <c r="DS46">
        <v>0</v>
      </c>
      <c r="DT46">
        <v>0</v>
      </c>
      <c r="DU46">
        <v>0</v>
      </c>
      <c r="DV46">
        <v>395</v>
      </c>
      <c r="DW46">
        <v>493</v>
      </c>
      <c r="DX46">
        <v>610</v>
      </c>
      <c r="DY46">
        <v>652</v>
      </c>
      <c r="DZ46">
        <v>389</v>
      </c>
      <c r="EA46">
        <v>409</v>
      </c>
      <c r="EB46">
        <v>195</v>
      </c>
      <c r="EC46">
        <v>218</v>
      </c>
      <c r="ED46">
        <v>179</v>
      </c>
      <c r="EE46">
        <v>206</v>
      </c>
      <c r="EF46">
        <v>264</v>
      </c>
      <c r="EG46">
        <v>333</v>
      </c>
      <c r="EH46">
        <v>85</v>
      </c>
      <c r="EI46">
        <v>67</v>
      </c>
      <c r="EJ46">
        <v>748</v>
      </c>
      <c r="EK46">
        <v>1074</v>
      </c>
      <c r="EL46">
        <v>673</v>
      </c>
      <c r="EM46">
        <v>325</v>
      </c>
      <c r="EN46">
        <v>309</v>
      </c>
      <c r="EO46">
        <v>485</v>
      </c>
      <c r="EP46">
        <v>137</v>
      </c>
      <c r="EQ46">
        <v>6383</v>
      </c>
      <c r="ER46">
        <v>6229</v>
      </c>
      <c r="ES46">
        <v>154</v>
      </c>
      <c r="ET46">
        <v>1297</v>
      </c>
      <c r="EU46">
        <v>3847</v>
      </c>
      <c r="EV46">
        <v>3824</v>
      </c>
      <c r="EW46">
        <v>23</v>
      </c>
      <c r="EX46">
        <v>4530</v>
      </c>
      <c r="EY46" s="26">
        <v>70.821156999999999</v>
      </c>
      <c r="EZ46" s="26">
        <v>18.015781</v>
      </c>
      <c r="FA46" s="26">
        <v>3.302162</v>
      </c>
      <c r="FB46" s="26">
        <v>7.8170659999999996</v>
      </c>
      <c r="FC46" s="26">
        <v>4.3833999999999998E-2</v>
      </c>
      <c r="FD46">
        <v>1071</v>
      </c>
      <c r="FE46">
        <v>4852</v>
      </c>
      <c r="FF46">
        <v>513</v>
      </c>
      <c r="FG46">
        <v>2455</v>
      </c>
      <c r="FH46">
        <v>0</v>
      </c>
      <c r="FI46">
        <v>1092</v>
      </c>
      <c r="FJ46">
        <v>246</v>
      </c>
      <c r="FK46" s="26" t="s">
        <v>359</v>
      </c>
      <c r="FL46" s="26" t="s">
        <v>359</v>
      </c>
      <c r="FM46" s="26" t="s">
        <v>359</v>
      </c>
      <c r="FN46" s="26" t="s">
        <v>359</v>
      </c>
      <c r="FO46" s="28">
        <v>9293</v>
      </c>
      <c r="FP46" s="28">
        <v>1959</v>
      </c>
      <c r="FQ46">
        <v>811</v>
      </c>
      <c r="FR46">
        <v>93</v>
      </c>
      <c r="FS46">
        <v>9</v>
      </c>
      <c r="FT46">
        <v>5</v>
      </c>
      <c r="FU46">
        <v>8083</v>
      </c>
      <c r="FV46">
        <v>12</v>
      </c>
      <c r="FW46">
        <v>11</v>
      </c>
      <c r="FX46">
        <v>12</v>
      </c>
      <c r="FY46">
        <v>9914</v>
      </c>
      <c r="FZ46">
        <v>1787</v>
      </c>
      <c r="GA46">
        <v>734</v>
      </c>
      <c r="GB46">
        <v>84</v>
      </c>
      <c r="GC46">
        <v>8</v>
      </c>
      <c r="GD46">
        <v>5</v>
      </c>
      <c r="GE46">
        <v>8732</v>
      </c>
      <c r="GF46">
        <v>17</v>
      </c>
      <c r="GG46">
        <v>7</v>
      </c>
      <c r="GH46">
        <v>10</v>
      </c>
      <c r="GI46">
        <v>1009</v>
      </c>
      <c r="GJ46">
        <v>1273</v>
      </c>
      <c r="GK46">
        <v>1287</v>
      </c>
      <c r="GL46">
        <v>966</v>
      </c>
      <c r="GM46">
        <v>708</v>
      </c>
      <c r="GN46">
        <v>645</v>
      </c>
      <c r="GO46">
        <v>551</v>
      </c>
      <c r="GP46">
        <v>500</v>
      </c>
      <c r="GQ46">
        <v>470</v>
      </c>
      <c r="GR46">
        <v>448</v>
      </c>
      <c r="GS46">
        <v>356</v>
      </c>
      <c r="GT46">
        <v>260</v>
      </c>
      <c r="GU46">
        <v>213</v>
      </c>
      <c r="GV46">
        <v>199</v>
      </c>
      <c r="GW46">
        <v>138</v>
      </c>
      <c r="GX46">
        <v>136</v>
      </c>
      <c r="GY46">
        <v>72</v>
      </c>
      <c r="GZ46">
        <v>61</v>
      </c>
      <c r="HA46">
        <v>945</v>
      </c>
      <c r="HB46">
        <v>1274</v>
      </c>
      <c r="HC46">
        <v>1273</v>
      </c>
      <c r="HD46">
        <v>981</v>
      </c>
      <c r="HE46">
        <v>839</v>
      </c>
      <c r="HF46">
        <v>856</v>
      </c>
      <c r="HG46">
        <v>646</v>
      </c>
      <c r="HH46">
        <v>629</v>
      </c>
      <c r="HI46">
        <v>489</v>
      </c>
      <c r="HJ46">
        <v>470</v>
      </c>
      <c r="HK46">
        <v>371</v>
      </c>
      <c r="HL46">
        <v>280</v>
      </c>
      <c r="HM46">
        <v>240</v>
      </c>
      <c r="HN46">
        <v>239</v>
      </c>
      <c r="HO46">
        <v>142</v>
      </c>
      <c r="HP46">
        <v>106</v>
      </c>
      <c r="HQ46">
        <v>60</v>
      </c>
      <c r="HR46">
        <v>72</v>
      </c>
      <c r="HS46">
        <v>4361</v>
      </c>
      <c r="HT46">
        <v>0</v>
      </c>
      <c r="HU46">
        <v>0</v>
      </c>
      <c r="HV46">
        <v>0</v>
      </c>
      <c r="HW46">
        <v>1</v>
      </c>
      <c r="HX46">
        <v>0</v>
      </c>
      <c r="HY46">
        <v>0</v>
      </c>
      <c r="HZ46">
        <v>3</v>
      </c>
      <c r="IA46">
        <v>241</v>
      </c>
      <c r="IB46">
        <v>580</v>
      </c>
      <c r="IC46">
        <v>610</v>
      </c>
      <c r="ID46">
        <v>750</v>
      </c>
      <c r="IE46">
        <v>703</v>
      </c>
      <c r="IF46">
        <v>610</v>
      </c>
      <c r="IG46">
        <v>416</v>
      </c>
      <c r="IH46">
        <v>254</v>
      </c>
      <c r="II46">
        <v>434</v>
      </c>
      <c r="IJ46">
        <v>86</v>
      </c>
      <c r="IK46">
        <v>1188</v>
      </c>
      <c r="IL46">
        <v>1694</v>
      </c>
      <c r="IM46">
        <v>943</v>
      </c>
      <c r="IN46">
        <v>463</v>
      </c>
      <c r="IO46">
        <v>143</v>
      </c>
      <c r="IP46">
        <v>49</v>
      </c>
      <c r="IQ46">
        <v>11</v>
      </c>
      <c r="IR46">
        <v>9</v>
      </c>
      <c r="IS46">
        <v>1233</v>
      </c>
      <c r="IT46">
        <v>1980</v>
      </c>
      <c r="IU46">
        <v>888</v>
      </c>
      <c r="IV46">
        <v>367</v>
      </c>
      <c r="IW46">
        <v>121</v>
      </c>
      <c r="IX46">
        <v>756</v>
      </c>
      <c r="IY46">
        <v>1451</v>
      </c>
      <c r="IZ46">
        <v>45</v>
      </c>
      <c r="JA46">
        <v>7</v>
      </c>
      <c r="JB46">
        <v>0</v>
      </c>
      <c r="JC46">
        <v>70</v>
      </c>
      <c r="JD46">
        <v>3277</v>
      </c>
      <c r="JE46">
        <v>1311</v>
      </c>
      <c r="JF46">
        <v>10</v>
      </c>
      <c r="JH46" s="28">
        <v>3804.6584970181434</v>
      </c>
      <c r="JI46" s="28">
        <v>109.13864777400704</v>
      </c>
      <c r="JJ46">
        <v>971</v>
      </c>
      <c r="JK46">
        <v>3537</v>
      </c>
      <c r="JL46">
        <v>80</v>
      </c>
      <c r="JM46">
        <v>10</v>
      </c>
      <c r="JN46">
        <v>480</v>
      </c>
      <c r="JO46">
        <v>193</v>
      </c>
      <c r="JP46">
        <v>275</v>
      </c>
      <c r="JQ46">
        <v>2174</v>
      </c>
      <c r="JR46">
        <v>2272</v>
      </c>
      <c r="JS46">
        <v>60</v>
      </c>
      <c r="JT46">
        <v>164</v>
      </c>
      <c r="JU46">
        <v>2221</v>
      </c>
      <c r="JV46">
        <v>43</v>
      </c>
      <c r="JW46" s="28"/>
      <c r="JX46" s="28"/>
      <c r="JY46" s="28"/>
      <c r="JZ46" s="28"/>
      <c r="KA46" s="28">
        <v>4464.9999992399999</v>
      </c>
      <c r="KB46">
        <v>21906</v>
      </c>
      <c r="KC46">
        <v>0</v>
      </c>
      <c r="KD46">
        <v>0</v>
      </c>
      <c r="KE46">
        <v>0</v>
      </c>
      <c r="KF46">
        <v>4</v>
      </c>
      <c r="KG46">
        <v>0</v>
      </c>
      <c r="KH46">
        <v>0</v>
      </c>
      <c r="KI46">
        <v>12</v>
      </c>
      <c r="KJ46">
        <v>4595</v>
      </c>
      <c r="KK46">
        <v>17929</v>
      </c>
      <c r="KL46">
        <v>358</v>
      </c>
      <c r="KM46">
        <v>41</v>
      </c>
      <c r="KT46">
        <v>3565</v>
      </c>
      <c r="KU46">
        <v>3339</v>
      </c>
      <c r="KV46">
        <v>3091</v>
      </c>
      <c r="KW46">
        <v>303</v>
      </c>
      <c r="KX46">
        <v>78</v>
      </c>
      <c r="KZ46">
        <v>2925</v>
      </c>
      <c r="LA46">
        <v>282</v>
      </c>
      <c r="LB46">
        <v>33</v>
      </c>
      <c r="LD46">
        <v>2050</v>
      </c>
      <c r="LE46">
        <v>2005</v>
      </c>
      <c r="LF46">
        <v>872</v>
      </c>
      <c r="LG46">
        <v>1770</v>
      </c>
      <c r="LH46">
        <v>14475</v>
      </c>
      <c r="LI46">
        <v>29</v>
      </c>
      <c r="LJ46">
        <v>2127</v>
      </c>
      <c r="LK46">
        <v>208</v>
      </c>
      <c r="LL46">
        <v>1676</v>
      </c>
      <c r="LM46">
        <v>0</v>
      </c>
      <c r="LN46">
        <v>708</v>
      </c>
      <c r="LO46">
        <v>128</v>
      </c>
      <c r="LP46">
        <v>33</v>
      </c>
      <c r="LQ46">
        <v>2404</v>
      </c>
      <c r="LR46">
        <v>167</v>
      </c>
      <c r="LS46">
        <v>1607</v>
      </c>
      <c r="LT46">
        <v>0</v>
      </c>
      <c r="LU46">
        <v>475</v>
      </c>
      <c r="LV46">
        <v>61</v>
      </c>
      <c r="LW46" s="44"/>
      <c r="LX46" s="44"/>
      <c r="LY46" s="44"/>
      <c r="LZ46">
        <v>4598</v>
      </c>
      <c r="MA46">
        <v>22923</v>
      </c>
      <c r="MB46">
        <v>23625</v>
      </c>
      <c r="MC46">
        <v>19820</v>
      </c>
      <c r="MD46" s="26">
        <v>18.252158999999999</v>
      </c>
      <c r="ME46" s="26">
        <v>9.2064709999999987</v>
      </c>
      <c r="MF46" s="26">
        <v>63.122624999999999</v>
      </c>
      <c r="MG46" s="26">
        <v>16.304679</v>
      </c>
      <c r="MH46" s="26">
        <v>21.117877</v>
      </c>
      <c r="MI46" s="26">
        <v>1.5006519999999999</v>
      </c>
      <c r="MJ46" s="26">
        <v>20.813396999999998</v>
      </c>
      <c r="MK46" s="26">
        <v>28.512397</v>
      </c>
      <c r="ML46" s="26">
        <v>2.8925619999999999</v>
      </c>
      <c r="MM46" s="26">
        <v>95.802522999999994</v>
      </c>
      <c r="MN46" s="26">
        <v>89.560678999999993</v>
      </c>
      <c r="MO46" s="26">
        <v>1.87954</v>
      </c>
      <c r="MP46" t="s">
        <v>1030</v>
      </c>
      <c r="MQ46">
        <v>134</v>
      </c>
      <c r="MR46">
        <v>13</v>
      </c>
    </row>
    <row r="47" spans="1:356">
      <c r="A47" t="s">
        <v>117</v>
      </c>
      <c r="B47" t="s">
        <v>118</v>
      </c>
      <c r="C47">
        <v>48476</v>
      </c>
      <c r="D47">
        <v>51359</v>
      </c>
      <c r="E47">
        <v>53242</v>
      </c>
      <c r="F47">
        <f t="shared" si="2"/>
        <v>1883</v>
      </c>
      <c r="G47" s="26">
        <f t="shared" si="3"/>
        <v>3.6663486438598909</v>
      </c>
      <c r="H47">
        <v>26079</v>
      </c>
      <c r="I47">
        <v>27163</v>
      </c>
      <c r="J47">
        <v>32109</v>
      </c>
      <c r="K47">
        <v>21133</v>
      </c>
      <c r="L47">
        <v>2331</v>
      </c>
      <c r="M47">
        <v>2689</v>
      </c>
      <c r="N47">
        <v>2719</v>
      </c>
      <c r="O47">
        <v>2450</v>
      </c>
      <c r="P47">
        <v>1917</v>
      </c>
      <c r="Q47">
        <v>1871</v>
      </c>
      <c r="R47">
        <v>1881</v>
      </c>
      <c r="S47">
        <v>1832</v>
      </c>
      <c r="T47">
        <v>1593</v>
      </c>
      <c r="U47">
        <v>1388</v>
      </c>
      <c r="V47">
        <v>1347</v>
      </c>
      <c r="W47">
        <v>1091</v>
      </c>
      <c r="X47">
        <v>953</v>
      </c>
      <c r="Y47">
        <v>2014</v>
      </c>
      <c r="Z47">
        <v>3</v>
      </c>
      <c r="AA47">
        <v>2292</v>
      </c>
      <c r="AB47">
        <v>2553</v>
      </c>
      <c r="AC47">
        <v>2618</v>
      </c>
      <c r="AD47">
        <v>2307</v>
      </c>
      <c r="AE47">
        <v>2003</v>
      </c>
      <c r="AF47">
        <v>2169</v>
      </c>
      <c r="AG47">
        <v>2077</v>
      </c>
      <c r="AH47">
        <v>2025</v>
      </c>
      <c r="AI47">
        <v>1735</v>
      </c>
      <c r="AJ47">
        <v>1581</v>
      </c>
      <c r="AK47">
        <v>1386</v>
      </c>
      <c r="AL47">
        <v>1211</v>
      </c>
      <c r="AM47">
        <v>954</v>
      </c>
      <c r="AN47">
        <v>2249</v>
      </c>
      <c r="AO47">
        <v>3</v>
      </c>
      <c r="AP47">
        <v>50026</v>
      </c>
      <c r="AQ47">
        <v>1833</v>
      </c>
      <c r="AR47">
        <v>63</v>
      </c>
      <c r="AS47">
        <v>1311</v>
      </c>
      <c r="AT47">
        <v>9</v>
      </c>
      <c r="AU47">
        <v>597</v>
      </c>
      <c r="AV47">
        <v>501</v>
      </c>
      <c r="AW47">
        <v>96</v>
      </c>
      <c r="AX47">
        <v>299</v>
      </c>
      <c r="AY47">
        <v>199</v>
      </c>
      <c r="AZ47">
        <v>43</v>
      </c>
      <c r="BA47">
        <v>156</v>
      </c>
      <c r="BB47">
        <v>1</v>
      </c>
      <c r="BC47">
        <v>1</v>
      </c>
      <c r="BD47">
        <v>2</v>
      </c>
      <c r="BE47">
        <v>6</v>
      </c>
      <c r="BF47">
        <v>5</v>
      </c>
      <c r="BG47">
        <v>5</v>
      </c>
      <c r="BH47">
        <v>37</v>
      </c>
      <c r="BI47">
        <v>4</v>
      </c>
      <c r="BJ47">
        <v>78</v>
      </c>
      <c r="BK47">
        <v>15</v>
      </c>
      <c r="BL47">
        <v>77</v>
      </c>
      <c r="BM47">
        <v>13</v>
      </c>
      <c r="BN47">
        <v>98</v>
      </c>
      <c r="BO47">
        <v>13</v>
      </c>
      <c r="BP47">
        <v>68</v>
      </c>
      <c r="BQ47">
        <v>7</v>
      </c>
      <c r="BR47">
        <v>43</v>
      </c>
      <c r="BS47">
        <v>7</v>
      </c>
      <c r="BT47">
        <v>16</v>
      </c>
      <c r="BU47">
        <v>4</v>
      </c>
      <c r="BV47">
        <v>21</v>
      </c>
      <c r="BW47">
        <v>3</v>
      </c>
      <c r="BX47">
        <v>25</v>
      </c>
      <c r="BY47">
        <v>5</v>
      </c>
      <c r="BZ47">
        <v>10</v>
      </c>
      <c r="CA47">
        <v>4</v>
      </c>
      <c r="CB47">
        <v>20</v>
      </c>
      <c r="CC47">
        <v>9</v>
      </c>
      <c r="CD47">
        <v>498</v>
      </c>
      <c r="CE47">
        <v>90</v>
      </c>
      <c r="CF47">
        <v>2</v>
      </c>
      <c r="CG47">
        <v>6</v>
      </c>
      <c r="CH47">
        <v>9323</v>
      </c>
      <c r="CI47">
        <v>4946</v>
      </c>
      <c r="CJ47">
        <v>35467</v>
      </c>
      <c r="CK47">
        <v>17068</v>
      </c>
      <c r="CL47">
        <v>1661</v>
      </c>
      <c r="CM47">
        <v>2509</v>
      </c>
      <c r="CN47">
        <v>2883</v>
      </c>
      <c r="CO47">
        <v>3093</v>
      </c>
      <c r="CP47">
        <v>2039</v>
      </c>
      <c r="CQ47">
        <v>2084</v>
      </c>
      <c r="CR47">
        <v>9020</v>
      </c>
      <c r="CS47">
        <v>20472</v>
      </c>
      <c r="CT47">
        <v>4757</v>
      </c>
      <c r="CU47">
        <v>1279</v>
      </c>
      <c r="CV47">
        <v>672</v>
      </c>
      <c r="CW47">
        <v>1802</v>
      </c>
      <c r="CX47">
        <v>261</v>
      </c>
      <c r="CY47">
        <v>8417</v>
      </c>
      <c r="CZ47">
        <v>4011</v>
      </c>
      <c r="DA47">
        <v>124</v>
      </c>
      <c r="DB47">
        <v>1661</v>
      </c>
      <c r="DC47">
        <v>55</v>
      </c>
      <c r="DD47">
        <v>2633</v>
      </c>
      <c r="DE47">
        <v>2287</v>
      </c>
      <c r="DF47">
        <v>4354</v>
      </c>
      <c r="DG47">
        <v>11859</v>
      </c>
      <c r="DH47">
        <v>0</v>
      </c>
      <c r="DI47">
        <v>0</v>
      </c>
      <c r="DJ47">
        <v>32109</v>
      </c>
      <c r="DK47">
        <v>0</v>
      </c>
      <c r="DL47">
        <v>0</v>
      </c>
      <c r="DM47">
        <v>152</v>
      </c>
      <c r="DN47">
        <v>14</v>
      </c>
      <c r="DO47">
        <v>14</v>
      </c>
      <c r="DP47">
        <v>10</v>
      </c>
      <c r="DQ47">
        <v>0</v>
      </c>
      <c r="DR47">
        <v>0</v>
      </c>
      <c r="DS47">
        <v>1</v>
      </c>
      <c r="DT47">
        <v>0</v>
      </c>
      <c r="DU47">
        <v>0</v>
      </c>
      <c r="DV47">
        <v>1246</v>
      </c>
      <c r="DW47">
        <v>1623</v>
      </c>
      <c r="DX47">
        <v>2193</v>
      </c>
      <c r="DY47">
        <v>2579</v>
      </c>
      <c r="DZ47">
        <v>804</v>
      </c>
      <c r="EA47">
        <v>699</v>
      </c>
      <c r="EB47">
        <v>460</v>
      </c>
      <c r="EC47">
        <v>356</v>
      </c>
      <c r="ED47">
        <v>351</v>
      </c>
      <c r="EE47">
        <v>420</v>
      </c>
      <c r="EF47">
        <v>483</v>
      </c>
      <c r="EG47">
        <v>563</v>
      </c>
      <c r="EH47">
        <v>292</v>
      </c>
      <c r="EI47">
        <v>271</v>
      </c>
      <c r="EJ47">
        <v>1847</v>
      </c>
      <c r="EK47">
        <v>3040</v>
      </c>
      <c r="EL47">
        <v>906</v>
      </c>
      <c r="EM47">
        <v>461</v>
      </c>
      <c r="EN47">
        <v>467</v>
      </c>
      <c r="EO47">
        <v>654</v>
      </c>
      <c r="EP47">
        <v>318</v>
      </c>
      <c r="EQ47">
        <v>14943</v>
      </c>
      <c r="ER47">
        <v>14753</v>
      </c>
      <c r="ES47">
        <v>190</v>
      </c>
      <c r="ET47">
        <v>4403</v>
      </c>
      <c r="EU47">
        <v>9466</v>
      </c>
      <c r="EV47">
        <v>9371</v>
      </c>
      <c r="EW47">
        <v>95</v>
      </c>
      <c r="EX47">
        <v>11710</v>
      </c>
      <c r="EY47" s="26">
        <v>19.252970000000001</v>
      </c>
      <c r="EZ47" s="26">
        <v>14.077183000000002</v>
      </c>
      <c r="FA47" s="26">
        <v>21.776463</v>
      </c>
      <c r="FB47" s="26">
        <v>44.258932000000001</v>
      </c>
      <c r="FC47" s="26">
        <v>0.63445099999999999</v>
      </c>
      <c r="FD47">
        <v>1910</v>
      </c>
      <c r="FE47">
        <v>6788</v>
      </c>
      <c r="FF47">
        <v>822</v>
      </c>
      <c r="FG47">
        <v>5487</v>
      </c>
      <c r="FH47">
        <v>22</v>
      </c>
      <c r="FI47">
        <v>5368</v>
      </c>
      <c r="FJ47">
        <v>3988</v>
      </c>
      <c r="FK47" s="26" t="s">
        <v>359</v>
      </c>
      <c r="FL47" s="26" t="s">
        <v>359</v>
      </c>
      <c r="FM47" s="26" t="s">
        <v>359</v>
      </c>
      <c r="FN47" s="26" t="s">
        <v>359</v>
      </c>
      <c r="FO47" s="28">
        <v>14309</v>
      </c>
      <c r="FP47" s="28">
        <v>11756</v>
      </c>
      <c r="FQ47">
        <v>6599</v>
      </c>
      <c r="FR47">
        <v>901</v>
      </c>
      <c r="FS47">
        <v>251</v>
      </c>
      <c r="FT47">
        <v>48</v>
      </c>
      <c r="FU47">
        <v>6461</v>
      </c>
      <c r="FV47">
        <v>46</v>
      </c>
      <c r="FW47">
        <v>47</v>
      </c>
      <c r="FX47">
        <v>14</v>
      </c>
      <c r="FY47">
        <v>15988</v>
      </c>
      <c r="FZ47">
        <v>11167</v>
      </c>
      <c r="GA47">
        <v>6761</v>
      </c>
      <c r="GB47">
        <v>1100</v>
      </c>
      <c r="GC47">
        <v>328</v>
      </c>
      <c r="GD47">
        <v>73</v>
      </c>
      <c r="GE47">
        <v>7663</v>
      </c>
      <c r="GF47">
        <v>46</v>
      </c>
      <c r="GG47">
        <v>60</v>
      </c>
      <c r="GH47">
        <v>8</v>
      </c>
      <c r="GI47">
        <v>1287</v>
      </c>
      <c r="GJ47">
        <v>1578</v>
      </c>
      <c r="GK47">
        <v>1555</v>
      </c>
      <c r="GL47">
        <v>1427</v>
      </c>
      <c r="GM47">
        <v>857</v>
      </c>
      <c r="GN47">
        <v>917</v>
      </c>
      <c r="GO47">
        <v>957</v>
      </c>
      <c r="GP47">
        <v>944</v>
      </c>
      <c r="GQ47">
        <v>835</v>
      </c>
      <c r="GR47">
        <v>763</v>
      </c>
      <c r="GS47">
        <v>744</v>
      </c>
      <c r="GT47">
        <v>603</v>
      </c>
      <c r="GU47">
        <v>582</v>
      </c>
      <c r="GV47">
        <v>428</v>
      </c>
      <c r="GW47">
        <v>321</v>
      </c>
      <c r="GX47">
        <v>245</v>
      </c>
      <c r="GY47">
        <v>140</v>
      </c>
      <c r="GZ47">
        <v>126</v>
      </c>
      <c r="HA47">
        <v>1247</v>
      </c>
      <c r="HB47">
        <v>1456</v>
      </c>
      <c r="HC47">
        <v>1485</v>
      </c>
      <c r="HD47">
        <v>1375</v>
      </c>
      <c r="HE47">
        <v>1017</v>
      </c>
      <c r="HF47">
        <v>1260</v>
      </c>
      <c r="HG47">
        <v>1219</v>
      </c>
      <c r="HH47">
        <v>1200</v>
      </c>
      <c r="HI47">
        <v>1038</v>
      </c>
      <c r="HJ47">
        <v>1010</v>
      </c>
      <c r="HK47">
        <v>846</v>
      </c>
      <c r="HL47">
        <v>789</v>
      </c>
      <c r="HM47">
        <v>631</v>
      </c>
      <c r="HN47">
        <v>511</v>
      </c>
      <c r="HO47">
        <v>344</v>
      </c>
      <c r="HP47">
        <v>247</v>
      </c>
      <c r="HQ47">
        <v>157</v>
      </c>
      <c r="HR47">
        <v>156</v>
      </c>
      <c r="HS47">
        <v>12465</v>
      </c>
      <c r="HT47">
        <v>15</v>
      </c>
      <c r="HU47">
        <v>291</v>
      </c>
      <c r="HV47">
        <v>0</v>
      </c>
      <c r="HW47">
        <v>30</v>
      </c>
      <c r="HX47">
        <v>0</v>
      </c>
      <c r="HY47">
        <v>4</v>
      </c>
      <c r="HZ47">
        <v>3</v>
      </c>
      <c r="IA47">
        <v>1646</v>
      </c>
      <c r="IB47">
        <v>2501</v>
      </c>
      <c r="IC47">
        <v>2880</v>
      </c>
      <c r="ID47">
        <v>3092</v>
      </c>
      <c r="IE47">
        <v>2036</v>
      </c>
      <c r="IF47">
        <v>1056</v>
      </c>
      <c r="IG47">
        <v>513</v>
      </c>
      <c r="IH47">
        <v>244</v>
      </c>
      <c r="II47">
        <v>267</v>
      </c>
      <c r="IJ47">
        <v>2391</v>
      </c>
      <c r="IK47">
        <v>3506</v>
      </c>
      <c r="IL47">
        <v>4017</v>
      </c>
      <c r="IM47">
        <v>2528</v>
      </c>
      <c r="IN47">
        <v>1283</v>
      </c>
      <c r="IO47">
        <v>356</v>
      </c>
      <c r="IP47">
        <v>73</v>
      </c>
      <c r="IQ47">
        <v>44</v>
      </c>
      <c r="IR47">
        <v>31</v>
      </c>
      <c r="IS47">
        <v>6547</v>
      </c>
      <c r="IT47">
        <v>5478</v>
      </c>
      <c r="IU47">
        <v>1817</v>
      </c>
      <c r="IV47">
        <v>313</v>
      </c>
      <c r="IW47">
        <v>74</v>
      </c>
      <c r="IX47">
        <v>7303</v>
      </c>
      <c r="IY47">
        <v>1042</v>
      </c>
      <c r="IZ47">
        <v>1</v>
      </c>
      <c r="JA47">
        <v>100</v>
      </c>
      <c r="JB47">
        <v>6</v>
      </c>
      <c r="JC47">
        <v>283</v>
      </c>
      <c r="JD47">
        <v>13768</v>
      </c>
      <c r="JE47">
        <v>461</v>
      </c>
      <c r="JF47">
        <v>6</v>
      </c>
      <c r="JH47" s="28">
        <v>12225.398537801571</v>
      </c>
      <c r="JI47" s="28">
        <v>624.99984312252934</v>
      </c>
      <c r="JJ47">
        <v>1226</v>
      </c>
      <c r="JK47">
        <v>11420</v>
      </c>
      <c r="JL47">
        <v>1584</v>
      </c>
      <c r="JM47">
        <v>5</v>
      </c>
      <c r="JN47">
        <v>11211</v>
      </c>
      <c r="JO47">
        <v>7461</v>
      </c>
      <c r="JP47">
        <v>2938</v>
      </c>
      <c r="JQ47">
        <v>9438</v>
      </c>
      <c r="JR47">
        <v>11981</v>
      </c>
      <c r="JS47">
        <v>2116</v>
      </c>
      <c r="JT47">
        <v>1752</v>
      </c>
      <c r="JU47">
        <v>11460</v>
      </c>
      <c r="JV47">
        <v>3552</v>
      </c>
      <c r="JW47" s="28"/>
      <c r="JX47" s="28"/>
      <c r="JY47" s="28"/>
      <c r="JZ47" s="28"/>
      <c r="KA47" s="28">
        <v>14037.99998445</v>
      </c>
      <c r="KB47">
        <v>46574</v>
      </c>
      <c r="KC47">
        <v>38</v>
      </c>
      <c r="KD47">
        <v>789</v>
      </c>
      <c r="KE47">
        <v>0</v>
      </c>
      <c r="KF47">
        <v>75</v>
      </c>
      <c r="KG47">
        <v>0</v>
      </c>
      <c r="KH47">
        <v>8</v>
      </c>
      <c r="KI47">
        <v>6</v>
      </c>
      <c r="KJ47">
        <v>4845</v>
      </c>
      <c r="KK47">
        <v>42036</v>
      </c>
      <c r="KL47">
        <v>5557</v>
      </c>
      <c r="KM47">
        <v>14</v>
      </c>
      <c r="KT47">
        <v>7191</v>
      </c>
      <c r="KU47">
        <v>6847</v>
      </c>
      <c r="KV47">
        <v>5696</v>
      </c>
      <c r="KW47">
        <v>976</v>
      </c>
      <c r="KX47">
        <v>367</v>
      </c>
      <c r="KZ47">
        <v>5361</v>
      </c>
      <c r="LA47">
        <v>898</v>
      </c>
      <c r="LB47">
        <v>418</v>
      </c>
      <c r="LD47">
        <v>4147</v>
      </c>
      <c r="LE47">
        <v>4055</v>
      </c>
      <c r="LF47">
        <v>1305</v>
      </c>
      <c r="LG47">
        <v>2073</v>
      </c>
      <c r="LH47">
        <v>38034</v>
      </c>
      <c r="LI47">
        <v>64</v>
      </c>
      <c r="LJ47">
        <v>2618</v>
      </c>
      <c r="LK47">
        <v>755</v>
      </c>
      <c r="LL47">
        <v>4022</v>
      </c>
      <c r="LM47">
        <v>15</v>
      </c>
      <c r="LN47">
        <v>3190</v>
      </c>
      <c r="LO47">
        <v>1721</v>
      </c>
      <c r="LP47">
        <v>75</v>
      </c>
      <c r="LQ47">
        <v>2968</v>
      </c>
      <c r="LR47">
        <v>649</v>
      </c>
      <c r="LS47">
        <v>4558</v>
      </c>
      <c r="LT47">
        <v>24</v>
      </c>
      <c r="LU47">
        <v>3161</v>
      </c>
      <c r="LV47">
        <v>1578</v>
      </c>
      <c r="LW47" s="44"/>
      <c r="LX47" s="44"/>
      <c r="LY47" s="44"/>
      <c r="LZ47">
        <v>14235</v>
      </c>
      <c r="MA47">
        <v>52452</v>
      </c>
      <c r="MB47">
        <v>54332</v>
      </c>
      <c r="MC47">
        <v>194</v>
      </c>
      <c r="MD47" s="26">
        <v>8.8815270000000002</v>
      </c>
      <c r="ME47" s="26">
        <v>9.3603259999999988</v>
      </c>
      <c r="MF47" s="26">
        <v>41.326181999999996</v>
      </c>
      <c r="MG47" s="26">
        <v>43.054355999999999</v>
      </c>
      <c r="MH47" s="26">
        <v>8.6125749999999996</v>
      </c>
      <c r="MI47" s="26">
        <v>1.629786</v>
      </c>
      <c r="MJ47" s="26">
        <v>7.5588340000000001</v>
      </c>
      <c r="MK47" s="26">
        <v>3.2384969999999997</v>
      </c>
      <c r="ML47" s="26">
        <v>1.3839129999999999</v>
      </c>
      <c r="MM47" s="26">
        <v>47.586933999999999</v>
      </c>
      <c r="MN47" s="26">
        <v>21.243413999999998</v>
      </c>
      <c r="MO47" s="26">
        <v>-0.21983699999999998</v>
      </c>
      <c r="MP47" t="s">
        <v>1027</v>
      </c>
      <c r="MQ47">
        <v>1240</v>
      </c>
      <c r="MR47">
        <v>110</v>
      </c>
    </row>
    <row r="48" spans="1:356">
      <c r="A48" t="s">
        <v>121</v>
      </c>
      <c r="B48" t="s">
        <v>122</v>
      </c>
      <c r="C48">
        <v>8877</v>
      </c>
      <c r="D48">
        <v>10239</v>
      </c>
      <c r="E48">
        <v>11377</v>
      </c>
      <c r="F48">
        <f t="shared" si="2"/>
        <v>1138</v>
      </c>
      <c r="G48" s="26">
        <f t="shared" si="3"/>
        <v>11.114366637366942</v>
      </c>
      <c r="H48">
        <v>5539</v>
      </c>
      <c r="I48">
        <v>5838</v>
      </c>
      <c r="J48">
        <v>3674</v>
      </c>
      <c r="K48">
        <v>7703</v>
      </c>
      <c r="L48">
        <v>710</v>
      </c>
      <c r="M48">
        <v>681</v>
      </c>
      <c r="N48">
        <v>645</v>
      </c>
      <c r="O48">
        <v>527</v>
      </c>
      <c r="P48">
        <v>433</v>
      </c>
      <c r="Q48">
        <v>351</v>
      </c>
      <c r="R48">
        <v>381</v>
      </c>
      <c r="S48">
        <v>368</v>
      </c>
      <c r="T48">
        <v>303</v>
      </c>
      <c r="U48">
        <v>238</v>
      </c>
      <c r="V48">
        <v>210</v>
      </c>
      <c r="W48">
        <v>183</v>
      </c>
      <c r="X48">
        <v>148</v>
      </c>
      <c r="Y48">
        <v>361</v>
      </c>
      <c r="Z48">
        <v>0</v>
      </c>
      <c r="AA48">
        <v>707</v>
      </c>
      <c r="AB48">
        <v>738</v>
      </c>
      <c r="AC48">
        <v>686</v>
      </c>
      <c r="AD48">
        <v>561</v>
      </c>
      <c r="AE48">
        <v>471</v>
      </c>
      <c r="AF48">
        <v>433</v>
      </c>
      <c r="AG48">
        <v>425</v>
      </c>
      <c r="AH48">
        <v>374</v>
      </c>
      <c r="AI48">
        <v>310</v>
      </c>
      <c r="AJ48">
        <v>273</v>
      </c>
      <c r="AK48">
        <v>223</v>
      </c>
      <c r="AL48">
        <v>182</v>
      </c>
      <c r="AM48">
        <v>132</v>
      </c>
      <c r="AN48">
        <v>323</v>
      </c>
      <c r="AO48">
        <v>0</v>
      </c>
      <c r="AP48">
        <v>11123</v>
      </c>
      <c r="AQ48">
        <v>251</v>
      </c>
      <c r="AR48">
        <v>0</v>
      </c>
      <c r="AS48">
        <v>1</v>
      </c>
      <c r="AT48">
        <v>2</v>
      </c>
      <c r="AU48">
        <v>4004</v>
      </c>
      <c r="AV48">
        <v>1963</v>
      </c>
      <c r="AW48">
        <v>2041</v>
      </c>
      <c r="AX48">
        <v>3137</v>
      </c>
      <c r="AY48">
        <v>3788</v>
      </c>
      <c r="AZ48">
        <v>3650</v>
      </c>
      <c r="BA48">
        <v>138</v>
      </c>
      <c r="BB48">
        <v>110</v>
      </c>
      <c r="BC48">
        <v>74</v>
      </c>
      <c r="BD48">
        <v>222</v>
      </c>
      <c r="BE48">
        <v>234</v>
      </c>
      <c r="BF48">
        <v>212</v>
      </c>
      <c r="BG48">
        <v>254</v>
      </c>
      <c r="BH48">
        <v>200</v>
      </c>
      <c r="BI48">
        <v>187</v>
      </c>
      <c r="BJ48">
        <v>144</v>
      </c>
      <c r="BK48">
        <v>190</v>
      </c>
      <c r="BL48">
        <v>138</v>
      </c>
      <c r="BM48">
        <v>149</v>
      </c>
      <c r="BN48">
        <v>168</v>
      </c>
      <c r="BO48">
        <v>180</v>
      </c>
      <c r="BP48">
        <v>150</v>
      </c>
      <c r="BQ48">
        <v>146</v>
      </c>
      <c r="BR48">
        <v>125</v>
      </c>
      <c r="BS48">
        <v>137</v>
      </c>
      <c r="BT48">
        <v>99</v>
      </c>
      <c r="BU48">
        <v>115</v>
      </c>
      <c r="BV48">
        <v>90</v>
      </c>
      <c r="BW48">
        <v>105</v>
      </c>
      <c r="BX48">
        <v>86</v>
      </c>
      <c r="BY48">
        <v>81</v>
      </c>
      <c r="BZ48">
        <v>56</v>
      </c>
      <c r="CA48">
        <v>48</v>
      </c>
      <c r="CB48">
        <v>163</v>
      </c>
      <c r="CC48">
        <v>141</v>
      </c>
      <c r="CD48">
        <v>1737</v>
      </c>
      <c r="CE48">
        <v>1668</v>
      </c>
      <c r="CF48">
        <v>217</v>
      </c>
      <c r="CG48">
        <v>347</v>
      </c>
      <c r="CH48">
        <v>2002</v>
      </c>
      <c r="CI48">
        <v>605</v>
      </c>
      <c r="CJ48">
        <v>9090</v>
      </c>
      <c r="CK48">
        <v>2216</v>
      </c>
      <c r="CL48">
        <v>237</v>
      </c>
      <c r="CM48">
        <v>367</v>
      </c>
      <c r="CN48">
        <v>407</v>
      </c>
      <c r="CO48">
        <v>508</v>
      </c>
      <c r="CP48">
        <v>418</v>
      </c>
      <c r="CQ48">
        <v>670</v>
      </c>
      <c r="CR48">
        <v>1967</v>
      </c>
      <c r="CS48">
        <v>5096</v>
      </c>
      <c r="CT48">
        <v>946</v>
      </c>
      <c r="CU48">
        <v>392</v>
      </c>
      <c r="CV48">
        <v>95</v>
      </c>
      <c r="CW48">
        <v>195</v>
      </c>
      <c r="CX48">
        <v>8</v>
      </c>
      <c r="CY48">
        <v>1655</v>
      </c>
      <c r="CZ48">
        <v>709</v>
      </c>
      <c r="DA48">
        <v>6</v>
      </c>
      <c r="DB48">
        <v>237</v>
      </c>
      <c r="DC48">
        <v>0</v>
      </c>
      <c r="DD48">
        <v>507</v>
      </c>
      <c r="DE48">
        <v>757</v>
      </c>
      <c r="DF48">
        <v>1446</v>
      </c>
      <c r="DG48">
        <v>4993</v>
      </c>
      <c r="DH48">
        <v>3674</v>
      </c>
      <c r="DI48">
        <v>0</v>
      </c>
      <c r="DJ48">
        <v>0</v>
      </c>
      <c r="DK48">
        <v>0</v>
      </c>
      <c r="DL48">
        <v>0</v>
      </c>
      <c r="DM48">
        <v>23</v>
      </c>
      <c r="DN48">
        <v>5</v>
      </c>
      <c r="DO48">
        <v>4</v>
      </c>
      <c r="DP48">
        <v>4</v>
      </c>
      <c r="DQ48">
        <v>1</v>
      </c>
      <c r="DR48">
        <v>0</v>
      </c>
      <c r="DS48">
        <v>0</v>
      </c>
      <c r="DT48">
        <v>0</v>
      </c>
      <c r="DU48">
        <v>0</v>
      </c>
      <c r="DV48">
        <v>350</v>
      </c>
      <c r="DW48">
        <v>402</v>
      </c>
      <c r="DX48">
        <v>503</v>
      </c>
      <c r="DY48">
        <v>575</v>
      </c>
      <c r="DZ48">
        <v>226</v>
      </c>
      <c r="EA48">
        <v>229</v>
      </c>
      <c r="EB48">
        <v>169</v>
      </c>
      <c r="EC48">
        <v>136</v>
      </c>
      <c r="ED48">
        <v>138</v>
      </c>
      <c r="EE48">
        <v>142</v>
      </c>
      <c r="EF48">
        <v>125</v>
      </c>
      <c r="EG48">
        <v>157</v>
      </c>
      <c r="EH48">
        <v>54</v>
      </c>
      <c r="EI48">
        <v>64</v>
      </c>
      <c r="EJ48">
        <v>661</v>
      </c>
      <c r="EK48">
        <v>940</v>
      </c>
      <c r="EL48">
        <v>399</v>
      </c>
      <c r="EM48">
        <v>261</v>
      </c>
      <c r="EN48">
        <v>246</v>
      </c>
      <c r="EO48">
        <v>246</v>
      </c>
      <c r="EP48">
        <v>110</v>
      </c>
      <c r="EQ48">
        <v>3055</v>
      </c>
      <c r="ER48">
        <v>2990</v>
      </c>
      <c r="ES48">
        <v>65</v>
      </c>
      <c r="ET48">
        <v>799</v>
      </c>
      <c r="EU48">
        <v>1260</v>
      </c>
      <c r="EV48">
        <v>1250</v>
      </c>
      <c r="EW48">
        <v>10</v>
      </c>
      <c r="EX48">
        <v>2832</v>
      </c>
      <c r="EY48" s="26">
        <v>68.376866000000007</v>
      </c>
      <c r="EZ48" s="26">
        <v>10.416667</v>
      </c>
      <c r="FA48" s="26">
        <v>6.716418</v>
      </c>
      <c r="FB48" s="26">
        <v>14.085820999999999</v>
      </c>
      <c r="FC48" s="26">
        <v>0.404229</v>
      </c>
      <c r="FD48">
        <v>382</v>
      </c>
      <c r="FE48">
        <v>1565</v>
      </c>
      <c r="FF48">
        <v>212</v>
      </c>
      <c r="FG48">
        <v>1268</v>
      </c>
      <c r="FH48">
        <v>1</v>
      </c>
      <c r="FI48">
        <v>547</v>
      </c>
      <c r="FJ48">
        <v>339</v>
      </c>
      <c r="FK48" s="26" t="s">
        <v>359</v>
      </c>
      <c r="FL48" s="26" t="s">
        <v>359</v>
      </c>
      <c r="FM48" s="26" t="s">
        <v>359</v>
      </c>
      <c r="FN48" s="26" t="s">
        <v>359</v>
      </c>
      <c r="FO48" s="28">
        <v>4881</v>
      </c>
      <c r="FP48" s="28">
        <v>656</v>
      </c>
      <c r="FQ48">
        <v>122</v>
      </c>
      <c r="FR48">
        <v>93</v>
      </c>
      <c r="FS48">
        <v>6</v>
      </c>
      <c r="FT48">
        <v>2</v>
      </c>
      <c r="FU48">
        <v>4618</v>
      </c>
      <c r="FV48">
        <v>5</v>
      </c>
      <c r="FW48">
        <v>10</v>
      </c>
      <c r="FX48">
        <v>2</v>
      </c>
      <c r="FY48">
        <v>5294</v>
      </c>
      <c r="FZ48">
        <v>543</v>
      </c>
      <c r="GA48">
        <v>116</v>
      </c>
      <c r="GB48">
        <v>107</v>
      </c>
      <c r="GC48">
        <v>7</v>
      </c>
      <c r="GD48">
        <v>3</v>
      </c>
      <c r="GE48">
        <v>5038</v>
      </c>
      <c r="GF48">
        <v>7</v>
      </c>
      <c r="GG48">
        <v>6</v>
      </c>
      <c r="GH48">
        <v>1</v>
      </c>
      <c r="GI48">
        <v>581</v>
      </c>
      <c r="GJ48">
        <v>620</v>
      </c>
      <c r="GK48">
        <v>603</v>
      </c>
      <c r="GL48">
        <v>482</v>
      </c>
      <c r="GM48">
        <v>375</v>
      </c>
      <c r="GN48">
        <v>300</v>
      </c>
      <c r="GO48">
        <v>305</v>
      </c>
      <c r="GP48">
        <v>338</v>
      </c>
      <c r="GQ48">
        <v>273</v>
      </c>
      <c r="GR48">
        <v>212</v>
      </c>
      <c r="GS48">
        <v>185</v>
      </c>
      <c r="GT48">
        <v>157</v>
      </c>
      <c r="GU48">
        <v>125</v>
      </c>
      <c r="GV48">
        <v>124</v>
      </c>
      <c r="GW48">
        <v>75</v>
      </c>
      <c r="GX48">
        <v>62</v>
      </c>
      <c r="GY48">
        <v>25</v>
      </c>
      <c r="GZ48">
        <v>39</v>
      </c>
      <c r="HA48">
        <v>593</v>
      </c>
      <c r="HB48">
        <v>673</v>
      </c>
      <c r="HC48">
        <v>643</v>
      </c>
      <c r="HD48">
        <v>503</v>
      </c>
      <c r="HE48">
        <v>432</v>
      </c>
      <c r="HF48">
        <v>391</v>
      </c>
      <c r="HG48">
        <v>397</v>
      </c>
      <c r="HH48">
        <v>355</v>
      </c>
      <c r="HI48">
        <v>282</v>
      </c>
      <c r="HJ48">
        <v>247</v>
      </c>
      <c r="HK48">
        <v>201</v>
      </c>
      <c r="HL48">
        <v>164</v>
      </c>
      <c r="HM48">
        <v>117</v>
      </c>
      <c r="HN48">
        <v>122</v>
      </c>
      <c r="HO48">
        <v>66</v>
      </c>
      <c r="HP48">
        <v>53</v>
      </c>
      <c r="HQ48">
        <v>25</v>
      </c>
      <c r="HR48">
        <v>30</v>
      </c>
      <c r="HS48">
        <v>2193</v>
      </c>
      <c r="HT48">
        <v>0</v>
      </c>
      <c r="HU48">
        <v>5</v>
      </c>
      <c r="HV48">
        <v>0</v>
      </c>
      <c r="HW48">
        <v>1</v>
      </c>
      <c r="HX48">
        <v>0</v>
      </c>
      <c r="HY48">
        <v>1</v>
      </c>
      <c r="HZ48">
        <v>0</v>
      </c>
      <c r="IA48">
        <v>236</v>
      </c>
      <c r="IB48">
        <v>367</v>
      </c>
      <c r="IC48">
        <v>407</v>
      </c>
      <c r="ID48">
        <v>508</v>
      </c>
      <c r="IE48">
        <v>417</v>
      </c>
      <c r="IF48">
        <v>270</v>
      </c>
      <c r="IG48">
        <v>163</v>
      </c>
      <c r="IH48">
        <v>97</v>
      </c>
      <c r="II48">
        <v>140</v>
      </c>
      <c r="IJ48">
        <v>165</v>
      </c>
      <c r="IK48">
        <v>482</v>
      </c>
      <c r="IL48">
        <v>622</v>
      </c>
      <c r="IM48">
        <v>642</v>
      </c>
      <c r="IN48">
        <v>529</v>
      </c>
      <c r="IO48">
        <v>112</v>
      </c>
      <c r="IP48">
        <v>37</v>
      </c>
      <c r="IQ48">
        <v>11</v>
      </c>
      <c r="IR48">
        <v>5</v>
      </c>
      <c r="IS48">
        <v>928</v>
      </c>
      <c r="IT48">
        <v>950</v>
      </c>
      <c r="IU48">
        <v>586</v>
      </c>
      <c r="IV48">
        <v>106</v>
      </c>
      <c r="IW48">
        <v>35</v>
      </c>
      <c r="IX48">
        <v>1873</v>
      </c>
      <c r="IY48">
        <v>492</v>
      </c>
      <c r="IZ48">
        <v>1</v>
      </c>
      <c r="JA48">
        <v>10</v>
      </c>
      <c r="JB48">
        <v>0</v>
      </c>
      <c r="JC48">
        <v>7</v>
      </c>
      <c r="JD48">
        <v>2556</v>
      </c>
      <c r="JE48">
        <v>49</v>
      </c>
      <c r="JF48">
        <v>0</v>
      </c>
      <c r="JH48" s="28">
        <v>2031.0664683478765</v>
      </c>
      <c r="JI48" s="28">
        <v>63.792361214573631</v>
      </c>
      <c r="JJ48">
        <v>239</v>
      </c>
      <c r="JK48">
        <v>2233</v>
      </c>
      <c r="JL48">
        <v>133</v>
      </c>
      <c r="JM48">
        <v>0</v>
      </c>
      <c r="JN48">
        <v>1365</v>
      </c>
      <c r="JO48">
        <v>667</v>
      </c>
      <c r="JP48">
        <v>205</v>
      </c>
      <c r="JQ48">
        <v>1158</v>
      </c>
      <c r="JR48">
        <v>1846</v>
      </c>
      <c r="JS48">
        <v>147</v>
      </c>
      <c r="JT48">
        <v>35</v>
      </c>
      <c r="JU48">
        <v>1822</v>
      </c>
      <c r="JV48">
        <v>519</v>
      </c>
      <c r="JW48" s="28"/>
      <c r="JX48" s="28"/>
      <c r="JY48" s="28"/>
      <c r="JZ48" s="28"/>
      <c r="KA48" s="28">
        <v>2582.9999935000001</v>
      </c>
      <c r="KB48">
        <v>9682</v>
      </c>
      <c r="KC48">
        <v>0</v>
      </c>
      <c r="KD48">
        <v>13</v>
      </c>
      <c r="KE48">
        <v>0</v>
      </c>
      <c r="KF48">
        <v>5</v>
      </c>
      <c r="KG48">
        <v>0</v>
      </c>
      <c r="KH48">
        <v>1</v>
      </c>
      <c r="KI48">
        <v>0</v>
      </c>
      <c r="KJ48">
        <v>1018</v>
      </c>
      <c r="KK48">
        <v>9763</v>
      </c>
      <c r="KL48">
        <v>519</v>
      </c>
      <c r="KM48">
        <v>0</v>
      </c>
      <c r="KT48">
        <v>1730</v>
      </c>
      <c r="KU48">
        <v>1785</v>
      </c>
      <c r="KV48">
        <v>1462</v>
      </c>
      <c r="KW48">
        <v>147</v>
      </c>
      <c r="KX48">
        <v>55</v>
      </c>
      <c r="KZ48">
        <v>1524</v>
      </c>
      <c r="LA48">
        <v>139</v>
      </c>
      <c r="LB48">
        <v>47</v>
      </c>
      <c r="LD48">
        <v>982</v>
      </c>
      <c r="LE48">
        <v>1107</v>
      </c>
      <c r="LF48">
        <v>351</v>
      </c>
      <c r="LG48">
        <v>649</v>
      </c>
      <c r="LH48">
        <v>7210</v>
      </c>
      <c r="LI48">
        <v>6</v>
      </c>
      <c r="LJ48">
        <v>633</v>
      </c>
      <c r="LK48">
        <v>133</v>
      </c>
      <c r="LL48">
        <v>975</v>
      </c>
      <c r="LM48">
        <v>1</v>
      </c>
      <c r="LN48">
        <v>348</v>
      </c>
      <c r="LO48">
        <v>173</v>
      </c>
      <c r="LP48">
        <v>3</v>
      </c>
      <c r="LQ48">
        <v>564</v>
      </c>
      <c r="LR48">
        <v>109</v>
      </c>
      <c r="LS48">
        <v>1285</v>
      </c>
      <c r="LT48">
        <v>0</v>
      </c>
      <c r="LU48">
        <v>317</v>
      </c>
      <c r="LV48">
        <v>139</v>
      </c>
      <c r="LW48" s="44"/>
      <c r="LX48" s="44"/>
      <c r="LY48" s="44"/>
      <c r="LZ48">
        <v>2605</v>
      </c>
      <c r="MA48">
        <v>11300</v>
      </c>
      <c r="MB48">
        <v>11342</v>
      </c>
      <c r="MC48">
        <v>4071</v>
      </c>
      <c r="MD48" s="26">
        <v>13.869626</v>
      </c>
      <c r="ME48" s="26">
        <v>8.7938679999999998</v>
      </c>
      <c r="MF48" s="26">
        <v>48.654646</v>
      </c>
      <c r="MG48" s="26">
        <v>10.538805999999999</v>
      </c>
      <c r="MH48" s="26">
        <v>9.1746639999999999</v>
      </c>
      <c r="MI48" s="26">
        <v>1.7658349999999998</v>
      </c>
      <c r="MJ48" s="26">
        <v>0.46065299999999998</v>
      </c>
      <c r="MK48" s="26">
        <v>1.8809979999999999</v>
      </c>
      <c r="ML48" s="26">
        <v>0.84453</v>
      </c>
      <c r="MM48" s="26">
        <v>74.395392999999999</v>
      </c>
      <c r="MN48" s="26">
        <v>47.600767999999995</v>
      </c>
      <c r="MO48" s="26">
        <v>0.39422399999999996</v>
      </c>
      <c r="MP48" t="s">
        <v>1029</v>
      </c>
      <c r="MQ48">
        <v>665</v>
      </c>
      <c r="MR48">
        <v>65</v>
      </c>
    </row>
    <row r="49" spans="1:356">
      <c r="A49" t="s">
        <v>123</v>
      </c>
      <c r="B49" t="s">
        <v>124</v>
      </c>
      <c r="C49">
        <v>9143</v>
      </c>
      <c r="D49">
        <v>10176</v>
      </c>
      <c r="E49">
        <v>10961</v>
      </c>
      <c r="F49">
        <f t="shared" si="2"/>
        <v>785</v>
      </c>
      <c r="G49" s="26">
        <f t="shared" si="3"/>
        <v>7.7142295597484321</v>
      </c>
      <c r="H49">
        <v>5419</v>
      </c>
      <c r="I49">
        <v>5542</v>
      </c>
      <c r="J49">
        <v>5309</v>
      </c>
      <c r="K49">
        <v>5652</v>
      </c>
      <c r="L49">
        <v>575</v>
      </c>
      <c r="M49">
        <v>608</v>
      </c>
      <c r="N49">
        <v>602</v>
      </c>
      <c r="O49">
        <v>514</v>
      </c>
      <c r="P49">
        <v>431</v>
      </c>
      <c r="Q49">
        <v>383</v>
      </c>
      <c r="R49">
        <v>342</v>
      </c>
      <c r="S49">
        <v>368</v>
      </c>
      <c r="T49">
        <v>305</v>
      </c>
      <c r="U49">
        <v>285</v>
      </c>
      <c r="V49">
        <v>245</v>
      </c>
      <c r="W49">
        <v>195</v>
      </c>
      <c r="X49">
        <v>170</v>
      </c>
      <c r="Y49">
        <v>396</v>
      </c>
      <c r="Z49">
        <v>0</v>
      </c>
      <c r="AA49">
        <v>548</v>
      </c>
      <c r="AB49">
        <v>630</v>
      </c>
      <c r="AC49">
        <v>554</v>
      </c>
      <c r="AD49">
        <v>489</v>
      </c>
      <c r="AE49">
        <v>440</v>
      </c>
      <c r="AF49">
        <v>466</v>
      </c>
      <c r="AG49">
        <v>403</v>
      </c>
      <c r="AH49">
        <v>407</v>
      </c>
      <c r="AI49">
        <v>336</v>
      </c>
      <c r="AJ49">
        <v>290</v>
      </c>
      <c r="AK49">
        <v>234</v>
      </c>
      <c r="AL49">
        <v>215</v>
      </c>
      <c r="AM49">
        <v>167</v>
      </c>
      <c r="AN49">
        <v>363</v>
      </c>
      <c r="AO49">
        <v>0</v>
      </c>
      <c r="AP49">
        <v>10517</v>
      </c>
      <c r="AQ49">
        <v>429</v>
      </c>
      <c r="AR49">
        <v>5</v>
      </c>
      <c r="AS49">
        <v>3</v>
      </c>
      <c r="AT49">
        <v>7</v>
      </c>
      <c r="AU49">
        <v>2106</v>
      </c>
      <c r="AV49">
        <v>1046</v>
      </c>
      <c r="AW49">
        <v>1060</v>
      </c>
      <c r="AX49">
        <v>1530</v>
      </c>
      <c r="AY49">
        <v>2269</v>
      </c>
      <c r="AZ49">
        <v>1591</v>
      </c>
      <c r="BA49">
        <v>678</v>
      </c>
      <c r="BB49">
        <v>31</v>
      </c>
      <c r="BC49">
        <v>23</v>
      </c>
      <c r="BD49">
        <v>75</v>
      </c>
      <c r="BE49">
        <v>98</v>
      </c>
      <c r="BF49">
        <v>116</v>
      </c>
      <c r="BG49">
        <v>108</v>
      </c>
      <c r="BH49">
        <v>99</v>
      </c>
      <c r="BI49">
        <v>98</v>
      </c>
      <c r="BJ49">
        <v>86</v>
      </c>
      <c r="BK49">
        <v>102</v>
      </c>
      <c r="BL49">
        <v>87</v>
      </c>
      <c r="BM49">
        <v>78</v>
      </c>
      <c r="BN49">
        <v>55</v>
      </c>
      <c r="BO49">
        <v>75</v>
      </c>
      <c r="BP49">
        <v>78</v>
      </c>
      <c r="BQ49">
        <v>96</v>
      </c>
      <c r="BR49">
        <v>74</v>
      </c>
      <c r="BS49">
        <v>83</v>
      </c>
      <c r="BT49">
        <v>81</v>
      </c>
      <c r="BU49">
        <v>59</v>
      </c>
      <c r="BV49">
        <v>63</v>
      </c>
      <c r="BW49">
        <v>55</v>
      </c>
      <c r="BX49">
        <v>42</v>
      </c>
      <c r="BY49">
        <v>53</v>
      </c>
      <c r="BZ49">
        <v>40</v>
      </c>
      <c r="CA49">
        <v>37</v>
      </c>
      <c r="CB49">
        <v>119</v>
      </c>
      <c r="CC49">
        <v>95</v>
      </c>
      <c r="CD49">
        <v>1045</v>
      </c>
      <c r="CE49">
        <v>1044</v>
      </c>
      <c r="CF49">
        <v>0</v>
      </c>
      <c r="CG49">
        <v>12</v>
      </c>
      <c r="CH49">
        <v>1987</v>
      </c>
      <c r="CI49">
        <v>672</v>
      </c>
      <c r="CJ49">
        <v>8489</v>
      </c>
      <c r="CK49">
        <v>2472</v>
      </c>
      <c r="CL49">
        <v>252</v>
      </c>
      <c r="CM49">
        <v>349</v>
      </c>
      <c r="CN49">
        <v>503</v>
      </c>
      <c r="CO49">
        <v>565</v>
      </c>
      <c r="CP49">
        <v>427</v>
      </c>
      <c r="CQ49">
        <v>563</v>
      </c>
      <c r="CR49">
        <v>1852</v>
      </c>
      <c r="CS49">
        <v>4744</v>
      </c>
      <c r="CT49">
        <v>984</v>
      </c>
      <c r="CU49">
        <v>310</v>
      </c>
      <c r="CV49">
        <v>108</v>
      </c>
      <c r="CW49">
        <v>280</v>
      </c>
      <c r="CX49">
        <v>24</v>
      </c>
      <c r="CY49">
        <v>1651</v>
      </c>
      <c r="CZ49">
        <v>736</v>
      </c>
      <c r="DA49">
        <v>16</v>
      </c>
      <c r="DB49">
        <v>252</v>
      </c>
      <c r="DC49">
        <v>4</v>
      </c>
      <c r="DD49">
        <v>1009</v>
      </c>
      <c r="DE49">
        <v>1624</v>
      </c>
      <c r="DF49">
        <v>2374</v>
      </c>
      <c r="DG49">
        <v>645</v>
      </c>
      <c r="DH49">
        <v>0</v>
      </c>
      <c r="DI49">
        <v>5309</v>
      </c>
      <c r="DJ49">
        <v>0</v>
      </c>
      <c r="DK49">
        <v>0</v>
      </c>
      <c r="DL49">
        <v>0</v>
      </c>
      <c r="DM49">
        <v>41</v>
      </c>
      <c r="DN49">
        <v>10</v>
      </c>
      <c r="DO49">
        <v>6</v>
      </c>
      <c r="DP49">
        <v>1</v>
      </c>
      <c r="DQ49">
        <v>0</v>
      </c>
      <c r="DR49">
        <v>1</v>
      </c>
      <c r="DS49">
        <v>0</v>
      </c>
      <c r="DT49">
        <v>0</v>
      </c>
      <c r="DU49">
        <v>0</v>
      </c>
      <c r="DV49">
        <v>280</v>
      </c>
      <c r="DW49">
        <v>295</v>
      </c>
      <c r="DX49">
        <v>495</v>
      </c>
      <c r="DY49">
        <v>518</v>
      </c>
      <c r="DZ49">
        <v>177</v>
      </c>
      <c r="EA49">
        <v>166</v>
      </c>
      <c r="EB49">
        <v>84</v>
      </c>
      <c r="EC49">
        <v>86</v>
      </c>
      <c r="ED49">
        <v>58</v>
      </c>
      <c r="EE49">
        <v>64</v>
      </c>
      <c r="EF49">
        <v>83</v>
      </c>
      <c r="EG49">
        <v>100</v>
      </c>
      <c r="EH49">
        <v>41</v>
      </c>
      <c r="EI49">
        <v>30</v>
      </c>
      <c r="EJ49">
        <v>360</v>
      </c>
      <c r="EK49">
        <v>665</v>
      </c>
      <c r="EL49">
        <v>223</v>
      </c>
      <c r="EM49">
        <v>103</v>
      </c>
      <c r="EN49">
        <v>61</v>
      </c>
      <c r="EO49">
        <v>101</v>
      </c>
      <c r="EP49">
        <v>44</v>
      </c>
      <c r="EQ49">
        <v>3231</v>
      </c>
      <c r="ER49">
        <v>3145</v>
      </c>
      <c r="ES49">
        <v>86</v>
      </c>
      <c r="ET49">
        <v>740</v>
      </c>
      <c r="EU49">
        <v>2186</v>
      </c>
      <c r="EV49">
        <v>2161</v>
      </c>
      <c r="EW49">
        <v>25</v>
      </c>
      <c r="EX49">
        <v>1940</v>
      </c>
      <c r="EY49" s="26">
        <v>41.078406000000001</v>
      </c>
      <c r="EZ49" s="26">
        <v>10.862204</v>
      </c>
      <c r="FA49" s="26">
        <v>15.13415</v>
      </c>
      <c r="FB49" s="26">
        <v>32.378222999999998</v>
      </c>
      <c r="FC49" s="26">
        <v>0.54701699999999998</v>
      </c>
      <c r="FD49">
        <v>453</v>
      </c>
      <c r="FE49">
        <v>1334</v>
      </c>
      <c r="FF49">
        <v>254</v>
      </c>
      <c r="FG49">
        <v>1378</v>
      </c>
      <c r="FH49">
        <v>1</v>
      </c>
      <c r="FI49">
        <v>1148</v>
      </c>
      <c r="FJ49">
        <v>846</v>
      </c>
      <c r="FK49" s="26" t="s">
        <v>359</v>
      </c>
      <c r="FL49" s="26" t="s">
        <v>359</v>
      </c>
      <c r="FM49" s="26" t="s">
        <v>359</v>
      </c>
      <c r="FN49" s="26" t="s">
        <v>359</v>
      </c>
      <c r="FO49" s="28">
        <v>3447</v>
      </c>
      <c r="FP49" s="28">
        <v>1967</v>
      </c>
      <c r="FQ49">
        <v>311</v>
      </c>
      <c r="FR49">
        <v>246</v>
      </c>
      <c r="FS49">
        <v>36</v>
      </c>
      <c r="FT49">
        <v>11</v>
      </c>
      <c r="FU49">
        <v>2808</v>
      </c>
      <c r="FV49">
        <v>6</v>
      </c>
      <c r="FW49">
        <v>4</v>
      </c>
      <c r="FX49">
        <v>5</v>
      </c>
      <c r="FY49">
        <v>3652</v>
      </c>
      <c r="FZ49">
        <v>1888</v>
      </c>
      <c r="GA49">
        <v>318</v>
      </c>
      <c r="GB49">
        <v>273</v>
      </c>
      <c r="GC49">
        <v>48</v>
      </c>
      <c r="GD49">
        <v>9</v>
      </c>
      <c r="GE49">
        <v>2965</v>
      </c>
      <c r="GF49">
        <v>5</v>
      </c>
      <c r="GG49">
        <v>9</v>
      </c>
      <c r="GH49">
        <v>2</v>
      </c>
      <c r="GI49">
        <v>338</v>
      </c>
      <c r="GJ49">
        <v>433</v>
      </c>
      <c r="GK49">
        <v>431</v>
      </c>
      <c r="GL49">
        <v>351</v>
      </c>
      <c r="GM49">
        <v>269</v>
      </c>
      <c r="GN49">
        <v>227</v>
      </c>
      <c r="GO49">
        <v>187</v>
      </c>
      <c r="GP49">
        <v>232</v>
      </c>
      <c r="GQ49">
        <v>192</v>
      </c>
      <c r="GR49">
        <v>177</v>
      </c>
      <c r="GS49">
        <v>141</v>
      </c>
      <c r="GT49">
        <v>123</v>
      </c>
      <c r="GU49">
        <v>96</v>
      </c>
      <c r="GV49">
        <v>85</v>
      </c>
      <c r="GW49">
        <v>60</v>
      </c>
      <c r="GX49">
        <v>48</v>
      </c>
      <c r="GY49">
        <v>29</v>
      </c>
      <c r="GZ49">
        <v>28</v>
      </c>
      <c r="HA49">
        <v>291</v>
      </c>
      <c r="HB49">
        <v>438</v>
      </c>
      <c r="HC49">
        <v>392</v>
      </c>
      <c r="HD49">
        <v>335</v>
      </c>
      <c r="HE49">
        <v>276</v>
      </c>
      <c r="HF49">
        <v>297</v>
      </c>
      <c r="HG49">
        <v>272</v>
      </c>
      <c r="HH49">
        <v>273</v>
      </c>
      <c r="HI49">
        <v>236</v>
      </c>
      <c r="HJ49">
        <v>188</v>
      </c>
      <c r="HK49">
        <v>157</v>
      </c>
      <c r="HL49">
        <v>154</v>
      </c>
      <c r="HM49">
        <v>110</v>
      </c>
      <c r="HN49">
        <v>86</v>
      </c>
      <c r="HO49">
        <v>62</v>
      </c>
      <c r="HP49">
        <v>43</v>
      </c>
      <c r="HQ49">
        <v>22</v>
      </c>
      <c r="HR49">
        <v>20</v>
      </c>
      <c r="HS49">
        <v>2216</v>
      </c>
      <c r="HT49">
        <v>5</v>
      </c>
      <c r="HU49">
        <v>0</v>
      </c>
      <c r="HV49">
        <v>0</v>
      </c>
      <c r="HW49">
        <v>11</v>
      </c>
      <c r="HX49">
        <v>0</v>
      </c>
      <c r="HY49">
        <v>1</v>
      </c>
      <c r="HZ49">
        <v>0</v>
      </c>
      <c r="IA49">
        <v>248</v>
      </c>
      <c r="IB49">
        <v>348</v>
      </c>
      <c r="IC49">
        <v>499</v>
      </c>
      <c r="ID49">
        <v>563</v>
      </c>
      <c r="IE49">
        <v>426</v>
      </c>
      <c r="IF49">
        <v>248</v>
      </c>
      <c r="IG49">
        <v>148</v>
      </c>
      <c r="IH49">
        <v>69</v>
      </c>
      <c r="II49">
        <v>98</v>
      </c>
      <c r="IJ49">
        <v>291</v>
      </c>
      <c r="IK49">
        <v>483</v>
      </c>
      <c r="IL49">
        <v>728</v>
      </c>
      <c r="IM49">
        <v>699</v>
      </c>
      <c r="IN49">
        <v>316</v>
      </c>
      <c r="IO49">
        <v>92</v>
      </c>
      <c r="IP49">
        <v>23</v>
      </c>
      <c r="IQ49">
        <v>10</v>
      </c>
      <c r="IR49">
        <v>5</v>
      </c>
      <c r="IS49">
        <v>1122</v>
      </c>
      <c r="IT49">
        <v>1049</v>
      </c>
      <c r="IU49">
        <v>391</v>
      </c>
      <c r="IV49">
        <v>68</v>
      </c>
      <c r="IW49">
        <v>17</v>
      </c>
      <c r="IX49">
        <v>1716</v>
      </c>
      <c r="IY49">
        <v>236</v>
      </c>
      <c r="IZ49">
        <v>0</v>
      </c>
      <c r="JA49">
        <v>10</v>
      </c>
      <c r="JB49">
        <v>1</v>
      </c>
      <c r="JC49">
        <v>172</v>
      </c>
      <c r="JD49">
        <v>2593</v>
      </c>
      <c r="JE49">
        <v>54</v>
      </c>
      <c r="JF49">
        <v>0</v>
      </c>
      <c r="JH49" s="28">
        <v>2072.9098488475779</v>
      </c>
      <c r="JI49" s="28">
        <v>143.86055848645515</v>
      </c>
      <c r="JJ49">
        <v>256</v>
      </c>
      <c r="JK49">
        <v>2139</v>
      </c>
      <c r="JL49">
        <v>252</v>
      </c>
      <c r="JM49">
        <v>0</v>
      </c>
      <c r="JN49">
        <v>1691</v>
      </c>
      <c r="JO49">
        <v>1021</v>
      </c>
      <c r="JP49">
        <v>307</v>
      </c>
      <c r="JQ49">
        <v>1002</v>
      </c>
      <c r="JR49">
        <v>1994</v>
      </c>
      <c r="JS49">
        <v>292</v>
      </c>
      <c r="JT49">
        <v>41</v>
      </c>
      <c r="JU49">
        <v>1971</v>
      </c>
      <c r="JV49">
        <v>686</v>
      </c>
      <c r="JW49" s="28"/>
      <c r="JX49" s="28"/>
      <c r="JY49" s="28"/>
      <c r="JZ49" s="28"/>
      <c r="KA49" s="28">
        <v>2551.9999905700001</v>
      </c>
      <c r="KB49">
        <v>9238</v>
      </c>
      <c r="KC49">
        <v>13</v>
      </c>
      <c r="KD49">
        <v>0</v>
      </c>
      <c r="KE49">
        <v>0</v>
      </c>
      <c r="KF49">
        <v>29</v>
      </c>
      <c r="KG49">
        <v>0</v>
      </c>
      <c r="KH49">
        <v>2</v>
      </c>
      <c r="KI49">
        <v>0</v>
      </c>
      <c r="KJ49">
        <v>1102</v>
      </c>
      <c r="KK49">
        <v>8861</v>
      </c>
      <c r="KL49">
        <v>967</v>
      </c>
      <c r="KM49">
        <v>0</v>
      </c>
      <c r="KT49">
        <v>1689</v>
      </c>
      <c r="KU49">
        <v>1671</v>
      </c>
      <c r="KV49">
        <v>1354</v>
      </c>
      <c r="KW49">
        <v>165</v>
      </c>
      <c r="KX49">
        <v>105</v>
      </c>
      <c r="KZ49">
        <v>1297</v>
      </c>
      <c r="LA49">
        <v>207</v>
      </c>
      <c r="LB49">
        <v>86</v>
      </c>
      <c r="LD49">
        <v>913</v>
      </c>
      <c r="LE49">
        <v>910</v>
      </c>
      <c r="LF49">
        <v>295</v>
      </c>
      <c r="LG49">
        <v>466</v>
      </c>
      <c r="LH49">
        <v>7444</v>
      </c>
      <c r="LI49">
        <v>8</v>
      </c>
      <c r="LJ49">
        <v>475</v>
      </c>
      <c r="LK49">
        <v>126</v>
      </c>
      <c r="LL49">
        <v>849</v>
      </c>
      <c r="LM49">
        <v>1</v>
      </c>
      <c r="LN49">
        <v>617</v>
      </c>
      <c r="LO49">
        <v>296</v>
      </c>
      <c r="LP49">
        <v>3</v>
      </c>
      <c r="LQ49">
        <v>451</v>
      </c>
      <c r="LR49">
        <v>69</v>
      </c>
      <c r="LS49">
        <v>1058</v>
      </c>
      <c r="LT49">
        <v>1</v>
      </c>
      <c r="LU49">
        <v>590</v>
      </c>
      <c r="LV49">
        <v>307</v>
      </c>
      <c r="LW49" s="44"/>
      <c r="LX49" s="44"/>
      <c r="LY49" s="44"/>
      <c r="LZ49">
        <v>2647</v>
      </c>
      <c r="MA49">
        <v>10930</v>
      </c>
      <c r="MB49">
        <v>10772</v>
      </c>
      <c r="MC49">
        <v>2509</v>
      </c>
      <c r="MD49" s="26">
        <v>10.222997999999999</v>
      </c>
      <c r="ME49" s="26">
        <v>6.5481759999999998</v>
      </c>
      <c r="MF49" s="26">
        <v>37.600752</v>
      </c>
      <c r="MG49" s="26">
        <v>35.170148999999995</v>
      </c>
      <c r="MH49" s="26">
        <v>9.6713259999999988</v>
      </c>
      <c r="MI49" s="26">
        <v>1.7755949999999998</v>
      </c>
      <c r="MJ49" s="26">
        <v>3.8534189999999997</v>
      </c>
      <c r="MK49" s="26">
        <v>2.0400450000000001</v>
      </c>
      <c r="ML49" s="26">
        <v>3.5889689999999996</v>
      </c>
      <c r="MM49" s="26">
        <v>61.428031999999995</v>
      </c>
      <c r="MN49" s="26">
        <v>36.116357999999998</v>
      </c>
      <c r="MO49" s="26">
        <v>4.3094E-2</v>
      </c>
      <c r="MP49" t="s">
        <v>1027</v>
      </c>
      <c r="MQ49">
        <v>978</v>
      </c>
      <c r="MR49">
        <v>92</v>
      </c>
    </row>
    <row r="50" spans="1:356">
      <c r="A50" t="s">
        <v>125</v>
      </c>
      <c r="B50" t="s">
        <v>126</v>
      </c>
      <c r="C50">
        <v>18533</v>
      </c>
      <c r="D50">
        <v>24517</v>
      </c>
      <c r="E50">
        <v>28999</v>
      </c>
      <c r="F50">
        <f t="shared" si="2"/>
        <v>4482</v>
      </c>
      <c r="G50" s="26">
        <f t="shared" si="3"/>
        <v>18.281192641840363</v>
      </c>
      <c r="H50">
        <v>14286</v>
      </c>
      <c r="I50">
        <v>14713</v>
      </c>
      <c r="J50">
        <v>6481</v>
      </c>
      <c r="K50">
        <v>22518</v>
      </c>
      <c r="L50">
        <v>1571</v>
      </c>
      <c r="M50">
        <v>1626</v>
      </c>
      <c r="N50">
        <v>1599</v>
      </c>
      <c r="O50">
        <v>1490</v>
      </c>
      <c r="P50">
        <v>1331</v>
      </c>
      <c r="Q50">
        <v>1209</v>
      </c>
      <c r="R50">
        <v>1038</v>
      </c>
      <c r="S50">
        <v>953</v>
      </c>
      <c r="T50">
        <v>812</v>
      </c>
      <c r="U50">
        <v>653</v>
      </c>
      <c r="V50">
        <v>517</v>
      </c>
      <c r="W50">
        <v>402</v>
      </c>
      <c r="X50">
        <v>289</v>
      </c>
      <c r="Y50">
        <v>796</v>
      </c>
      <c r="Z50">
        <v>0</v>
      </c>
      <c r="AA50">
        <v>1621</v>
      </c>
      <c r="AB50">
        <v>1600</v>
      </c>
      <c r="AC50">
        <v>1542</v>
      </c>
      <c r="AD50">
        <v>1434</v>
      </c>
      <c r="AE50">
        <v>1371</v>
      </c>
      <c r="AF50">
        <v>1320</v>
      </c>
      <c r="AG50">
        <v>1240</v>
      </c>
      <c r="AH50">
        <v>1068</v>
      </c>
      <c r="AI50">
        <v>817</v>
      </c>
      <c r="AJ50">
        <v>674</v>
      </c>
      <c r="AK50">
        <v>531</v>
      </c>
      <c r="AL50">
        <v>420</v>
      </c>
      <c r="AM50">
        <v>297</v>
      </c>
      <c r="AN50">
        <v>778</v>
      </c>
      <c r="AO50">
        <v>0</v>
      </c>
      <c r="AP50">
        <v>28877</v>
      </c>
      <c r="AQ50">
        <v>107</v>
      </c>
      <c r="AR50">
        <v>2</v>
      </c>
      <c r="AS50">
        <v>1</v>
      </c>
      <c r="AT50">
        <v>12</v>
      </c>
      <c r="AU50">
        <v>5308</v>
      </c>
      <c r="AV50">
        <v>2699</v>
      </c>
      <c r="AW50">
        <v>2609</v>
      </c>
      <c r="AX50">
        <v>3773</v>
      </c>
      <c r="AY50">
        <v>4971</v>
      </c>
      <c r="AZ50">
        <v>4152</v>
      </c>
      <c r="BA50">
        <v>819</v>
      </c>
      <c r="BB50">
        <v>111</v>
      </c>
      <c r="BC50">
        <v>89</v>
      </c>
      <c r="BD50">
        <v>300</v>
      </c>
      <c r="BE50">
        <v>270</v>
      </c>
      <c r="BF50">
        <v>288</v>
      </c>
      <c r="BG50">
        <v>278</v>
      </c>
      <c r="BH50">
        <v>307</v>
      </c>
      <c r="BI50">
        <v>274</v>
      </c>
      <c r="BJ50">
        <v>236</v>
      </c>
      <c r="BK50">
        <v>280</v>
      </c>
      <c r="BL50">
        <v>237</v>
      </c>
      <c r="BM50">
        <v>239</v>
      </c>
      <c r="BN50">
        <v>177</v>
      </c>
      <c r="BO50">
        <v>222</v>
      </c>
      <c r="BP50">
        <v>205</v>
      </c>
      <c r="BQ50">
        <v>206</v>
      </c>
      <c r="BR50">
        <v>155</v>
      </c>
      <c r="BS50">
        <v>145</v>
      </c>
      <c r="BT50">
        <v>153</v>
      </c>
      <c r="BU50">
        <v>130</v>
      </c>
      <c r="BV50">
        <v>110</v>
      </c>
      <c r="BW50">
        <v>113</v>
      </c>
      <c r="BX50">
        <v>100</v>
      </c>
      <c r="BY50">
        <v>90</v>
      </c>
      <c r="BZ50">
        <v>77</v>
      </c>
      <c r="CA50">
        <v>60</v>
      </c>
      <c r="CB50">
        <v>243</v>
      </c>
      <c r="CC50">
        <v>213</v>
      </c>
      <c r="CD50">
        <v>2479</v>
      </c>
      <c r="CE50">
        <v>2203</v>
      </c>
      <c r="CF50">
        <v>208</v>
      </c>
      <c r="CG50">
        <v>373</v>
      </c>
      <c r="CH50">
        <v>4925</v>
      </c>
      <c r="CI50">
        <v>1241</v>
      </c>
      <c r="CJ50">
        <v>23946</v>
      </c>
      <c r="CK50">
        <v>5038</v>
      </c>
      <c r="CL50">
        <v>324</v>
      </c>
      <c r="CM50">
        <v>681</v>
      </c>
      <c r="CN50">
        <v>969</v>
      </c>
      <c r="CO50">
        <v>1309</v>
      </c>
      <c r="CP50">
        <v>1092</v>
      </c>
      <c r="CQ50">
        <v>1791</v>
      </c>
      <c r="CR50">
        <v>4980</v>
      </c>
      <c r="CS50">
        <v>13663</v>
      </c>
      <c r="CT50">
        <v>2187</v>
      </c>
      <c r="CU50">
        <v>1095</v>
      </c>
      <c r="CV50">
        <v>224</v>
      </c>
      <c r="CW50">
        <v>643</v>
      </c>
      <c r="CX50">
        <v>26</v>
      </c>
      <c r="CY50">
        <v>4196</v>
      </c>
      <c r="CZ50">
        <v>1628</v>
      </c>
      <c r="DA50">
        <v>15</v>
      </c>
      <c r="DB50">
        <v>324</v>
      </c>
      <c r="DC50">
        <v>3</v>
      </c>
      <c r="DD50">
        <v>841</v>
      </c>
      <c r="DE50">
        <v>1438</v>
      </c>
      <c r="DF50">
        <v>2683</v>
      </c>
      <c r="DG50">
        <v>17556</v>
      </c>
      <c r="DH50">
        <v>0</v>
      </c>
      <c r="DI50">
        <v>6481</v>
      </c>
      <c r="DJ50">
        <v>0</v>
      </c>
      <c r="DK50">
        <v>0</v>
      </c>
      <c r="DL50">
        <v>0</v>
      </c>
      <c r="DM50">
        <v>38</v>
      </c>
      <c r="DN50">
        <v>8</v>
      </c>
      <c r="DO50">
        <v>7</v>
      </c>
      <c r="DP50">
        <v>17</v>
      </c>
      <c r="DQ50">
        <v>0</v>
      </c>
      <c r="DR50">
        <v>1</v>
      </c>
      <c r="DS50">
        <v>0</v>
      </c>
      <c r="DT50">
        <v>0</v>
      </c>
      <c r="DU50">
        <v>0</v>
      </c>
      <c r="DV50">
        <v>580</v>
      </c>
      <c r="DW50">
        <v>656</v>
      </c>
      <c r="DX50">
        <v>774</v>
      </c>
      <c r="DY50">
        <v>891</v>
      </c>
      <c r="DZ50">
        <v>457</v>
      </c>
      <c r="EA50">
        <v>419</v>
      </c>
      <c r="EB50">
        <v>235</v>
      </c>
      <c r="EC50">
        <v>195</v>
      </c>
      <c r="ED50">
        <v>199</v>
      </c>
      <c r="EE50">
        <v>186</v>
      </c>
      <c r="EF50">
        <v>279</v>
      </c>
      <c r="EG50">
        <v>303</v>
      </c>
      <c r="EH50">
        <v>126</v>
      </c>
      <c r="EI50">
        <v>119</v>
      </c>
      <c r="EJ50">
        <v>945</v>
      </c>
      <c r="EK50">
        <v>1265</v>
      </c>
      <c r="EL50">
        <v>684</v>
      </c>
      <c r="EM50">
        <v>307</v>
      </c>
      <c r="EN50">
        <v>275</v>
      </c>
      <c r="EO50">
        <v>451</v>
      </c>
      <c r="EP50">
        <v>201</v>
      </c>
      <c r="EQ50">
        <v>8434</v>
      </c>
      <c r="ER50">
        <v>8219</v>
      </c>
      <c r="ES50">
        <v>215</v>
      </c>
      <c r="ET50">
        <v>1913</v>
      </c>
      <c r="EU50">
        <v>3256</v>
      </c>
      <c r="EV50">
        <v>3228</v>
      </c>
      <c r="EW50">
        <v>28</v>
      </c>
      <c r="EX50">
        <v>7589</v>
      </c>
      <c r="EY50" s="26">
        <v>52.540261000000001</v>
      </c>
      <c r="EZ50" s="26">
        <v>25.987347</v>
      </c>
      <c r="FA50" s="26">
        <v>6.1253830000000002</v>
      </c>
      <c r="FB50" s="26">
        <v>14.906058</v>
      </c>
      <c r="FC50" s="26">
        <v>0.44095099999999998</v>
      </c>
      <c r="FD50">
        <v>905</v>
      </c>
      <c r="FE50">
        <v>4970</v>
      </c>
      <c r="FF50">
        <v>363</v>
      </c>
      <c r="FG50">
        <v>3035</v>
      </c>
      <c r="FH50">
        <v>3</v>
      </c>
      <c r="FI50">
        <v>1552</v>
      </c>
      <c r="FJ50">
        <v>836</v>
      </c>
      <c r="FK50" s="26" t="s">
        <v>359</v>
      </c>
      <c r="FL50" s="26" t="s">
        <v>359</v>
      </c>
      <c r="FM50" s="26" t="s">
        <v>359</v>
      </c>
      <c r="FN50" s="26" t="s">
        <v>359</v>
      </c>
      <c r="FO50" s="28">
        <v>11176</v>
      </c>
      <c r="FP50" s="28">
        <v>3109</v>
      </c>
      <c r="FQ50">
        <v>840</v>
      </c>
      <c r="FR50">
        <v>368</v>
      </c>
      <c r="FS50">
        <v>144</v>
      </c>
      <c r="FT50">
        <v>15</v>
      </c>
      <c r="FU50">
        <v>9739</v>
      </c>
      <c r="FV50">
        <v>39</v>
      </c>
      <c r="FW50">
        <v>14</v>
      </c>
      <c r="FX50">
        <v>1</v>
      </c>
      <c r="FY50">
        <v>11772</v>
      </c>
      <c r="FZ50">
        <v>2941</v>
      </c>
      <c r="GA50">
        <v>843</v>
      </c>
      <c r="GB50">
        <v>430</v>
      </c>
      <c r="GC50">
        <v>142</v>
      </c>
      <c r="GD50">
        <v>25</v>
      </c>
      <c r="GE50">
        <v>10259</v>
      </c>
      <c r="GF50">
        <v>35</v>
      </c>
      <c r="GG50">
        <v>17</v>
      </c>
      <c r="GH50">
        <v>0</v>
      </c>
      <c r="GI50">
        <v>1149</v>
      </c>
      <c r="GJ50">
        <v>1352</v>
      </c>
      <c r="GK50">
        <v>1318</v>
      </c>
      <c r="GL50">
        <v>1173</v>
      </c>
      <c r="GM50">
        <v>983</v>
      </c>
      <c r="GN50">
        <v>930</v>
      </c>
      <c r="GO50">
        <v>813</v>
      </c>
      <c r="GP50">
        <v>749</v>
      </c>
      <c r="GQ50">
        <v>632</v>
      </c>
      <c r="GR50">
        <v>519</v>
      </c>
      <c r="GS50">
        <v>406</v>
      </c>
      <c r="GT50">
        <v>301</v>
      </c>
      <c r="GU50">
        <v>220</v>
      </c>
      <c r="GV50">
        <v>216</v>
      </c>
      <c r="GW50">
        <v>170</v>
      </c>
      <c r="GX50">
        <v>127</v>
      </c>
      <c r="GY50">
        <v>69</v>
      </c>
      <c r="GZ50">
        <v>49</v>
      </c>
      <c r="HA50">
        <v>1180</v>
      </c>
      <c r="HB50">
        <v>1333</v>
      </c>
      <c r="HC50">
        <v>1295</v>
      </c>
      <c r="HD50">
        <v>1110</v>
      </c>
      <c r="HE50">
        <v>1083</v>
      </c>
      <c r="HF50">
        <v>1084</v>
      </c>
      <c r="HG50">
        <v>998</v>
      </c>
      <c r="HH50">
        <v>890</v>
      </c>
      <c r="HI50">
        <v>654</v>
      </c>
      <c r="HJ50">
        <v>546</v>
      </c>
      <c r="HK50">
        <v>420</v>
      </c>
      <c r="HL50">
        <v>332</v>
      </c>
      <c r="HM50">
        <v>233</v>
      </c>
      <c r="HN50">
        <v>231</v>
      </c>
      <c r="HO50">
        <v>144</v>
      </c>
      <c r="HP50">
        <v>124</v>
      </c>
      <c r="HQ50">
        <v>59</v>
      </c>
      <c r="HR50">
        <v>56</v>
      </c>
      <c r="HS50">
        <v>5313</v>
      </c>
      <c r="HT50">
        <v>0</v>
      </c>
      <c r="HU50">
        <v>3</v>
      </c>
      <c r="HV50">
        <v>0</v>
      </c>
      <c r="HW50">
        <v>7</v>
      </c>
      <c r="HX50">
        <v>0</v>
      </c>
      <c r="HY50">
        <v>13</v>
      </c>
      <c r="HZ50">
        <v>0</v>
      </c>
      <c r="IA50">
        <v>324</v>
      </c>
      <c r="IB50">
        <v>680</v>
      </c>
      <c r="IC50">
        <v>965</v>
      </c>
      <c r="ID50">
        <v>1303</v>
      </c>
      <c r="IE50">
        <v>1089</v>
      </c>
      <c r="IF50">
        <v>658</v>
      </c>
      <c r="IG50">
        <v>423</v>
      </c>
      <c r="IH50">
        <v>280</v>
      </c>
      <c r="II50">
        <v>424</v>
      </c>
      <c r="IJ50">
        <v>779</v>
      </c>
      <c r="IK50">
        <v>2102</v>
      </c>
      <c r="IL50">
        <v>1793</v>
      </c>
      <c r="IM50">
        <v>972</v>
      </c>
      <c r="IN50">
        <v>332</v>
      </c>
      <c r="IO50">
        <v>122</v>
      </c>
      <c r="IP50">
        <v>32</v>
      </c>
      <c r="IQ50">
        <v>11</v>
      </c>
      <c r="IR50">
        <v>3</v>
      </c>
      <c r="IS50">
        <v>2853</v>
      </c>
      <c r="IT50">
        <v>2197</v>
      </c>
      <c r="IU50">
        <v>821</v>
      </c>
      <c r="IV50">
        <v>219</v>
      </c>
      <c r="IW50">
        <v>56</v>
      </c>
      <c r="IX50">
        <v>1520</v>
      </c>
      <c r="IY50">
        <v>3419</v>
      </c>
      <c r="IZ50">
        <v>43</v>
      </c>
      <c r="JA50">
        <v>49</v>
      </c>
      <c r="JB50">
        <v>11</v>
      </c>
      <c r="JC50">
        <v>39</v>
      </c>
      <c r="JD50">
        <v>5853</v>
      </c>
      <c r="JE50">
        <v>293</v>
      </c>
      <c r="JF50">
        <v>0</v>
      </c>
      <c r="JH50" s="28">
        <v>4625.5470026301491</v>
      </c>
      <c r="JI50" s="28">
        <v>317.17342175842077</v>
      </c>
      <c r="JJ50">
        <v>897</v>
      </c>
      <c r="JK50">
        <v>4869</v>
      </c>
      <c r="JL50">
        <v>380</v>
      </c>
      <c r="JM50">
        <v>0</v>
      </c>
      <c r="JN50">
        <v>3098</v>
      </c>
      <c r="JO50">
        <v>1465</v>
      </c>
      <c r="JP50">
        <v>727</v>
      </c>
      <c r="JQ50">
        <v>2494</v>
      </c>
      <c r="JR50">
        <v>4759</v>
      </c>
      <c r="JS50">
        <v>338</v>
      </c>
      <c r="JT50">
        <v>327</v>
      </c>
      <c r="JU50">
        <v>3855</v>
      </c>
      <c r="JV50">
        <v>292</v>
      </c>
      <c r="JW50" s="28"/>
      <c r="JX50" s="28"/>
      <c r="JY50" s="28"/>
      <c r="JZ50" s="28"/>
      <c r="KA50" s="28">
        <v>6093.9999846600003</v>
      </c>
      <c r="KB50">
        <v>25285</v>
      </c>
      <c r="KC50">
        <v>0</v>
      </c>
      <c r="KD50">
        <v>10</v>
      </c>
      <c r="KE50">
        <v>0</v>
      </c>
      <c r="KF50">
        <v>31</v>
      </c>
      <c r="KG50">
        <v>0</v>
      </c>
      <c r="KH50">
        <v>64</v>
      </c>
      <c r="KI50">
        <v>0</v>
      </c>
      <c r="KJ50">
        <v>4508</v>
      </c>
      <c r="KK50">
        <v>22807</v>
      </c>
      <c r="KL50">
        <v>1574</v>
      </c>
      <c r="KM50">
        <v>0</v>
      </c>
      <c r="KT50">
        <v>4060</v>
      </c>
      <c r="KU50">
        <v>3764</v>
      </c>
      <c r="KV50">
        <v>3373</v>
      </c>
      <c r="KW50">
        <v>337</v>
      </c>
      <c r="KX50">
        <v>148</v>
      </c>
      <c r="KZ50">
        <v>3206</v>
      </c>
      <c r="LA50">
        <v>263</v>
      </c>
      <c r="LB50">
        <v>107</v>
      </c>
      <c r="LD50">
        <v>2341</v>
      </c>
      <c r="LE50">
        <v>2262</v>
      </c>
      <c r="LF50">
        <v>983</v>
      </c>
      <c r="LG50">
        <v>1627</v>
      </c>
      <c r="LH50">
        <v>19440</v>
      </c>
      <c r="LI50">
        <v>18</v>
      </c>
      <c r="LJ50">
        <v>2426</v>
      </c>
      <c r="LK50">
        <v>264</v>
      </c>
      <c r="LL50">
        <v>2315</v>
      </c>
      <c r="LM50">
        <v>3</v>
      </c>
      <c r="LN50">
        <v>1101</v>
      </c>
      <c r="LO50">
        <v>450</v>
      </c>
      <c r="LP50">
        <v>12</v>
      </c>
      <c r="LQ50">
        <v>2406</v>
      </c>
      <c r="LR50">
        <v>265</v>
      </c>
      <c r="LS50">
        <v>2852</v>
      </c>
      <c r="LT50">
        <v>1</v>
      </c>
      <c r="LU50">
        <v>856</v>
      </c>
      <c r="LV50">
        <v>315</v>
      </c>
      <c r="LW50" s="44"/>
      <c r="LX50" s="44"/>
      <c r="LY50" s="44"/>
      <c r="LZ50">
        <v>6146</v>
      </c>
      <c r="MA50">
        <v>28889</v>
      </c>
      <c r="MB50">
        <v>27198</v>
      </c>
      <c r="MC50">
        <v>4629</v>
      </c>
      <c r="MD50" s="26">
        <v>13.425925999999999</v>
      </c>
      <c r="ME50" s="26">
        <v>11.523643</v>
      </c>
      <c r="MF50" s="26">
        <v>53.652262999999998</v>
      </c>
      <c r="MG50" s="26">
        <v>20.862787999999998</v>
      </c>
      <c r="MH50" s="26">
        <v>14.594857999999999</v>
      </c>
      <c r="MI50" s="26">
        <v>4.37683</v>
      </c>
      <c r="MJ50" s="26">
        <v>2.4894240000000001</v>
      </c>
      <c r="MK50" s="26">
        <v>4.767328</v>
      </c>
      <c r="ML50" s="26">
        <v>0.84607899999999991</v>
      </c>
      <c r="MM50" s="26">
        <v>76.163358000000002</v>
      </c>
      <c r="MN50" s="26">
        <v>49.593230999999996</v>
      </c>
      <c r="MO50" s="26">
        <v>0.65864999999999996</v>
      </c>
      <c r="MP50" t="s">
        <v>1029</v>
      </c>
      <c r="MQ50">
        <v>528</v>
      </c>
      <c r="MR50">
        <v>50</v>
      </c>
    </row>
    <row r="51" spans="1:356">
      <c r="A51" t="s">
        <v>127</v>
      </c>
      <c r="B51" t="s">
        <v>128</v>
      </c>
      <c r="C51">
        <v>4707</v>
      </c>
      <c r="D51">
        <v>5478</v>
      </c>
      <c r="E51">
        <v>6284</v>
      </c>
      <c r="F51">
        <f t="shared" si="2"/>
        <v>806</v>
      </c>
      <c r="G51" s="26">
        <f t="shared" si="3"/>
        <v>14.71339905074845</v>
      </c>
      <c r="H51">
        <v>3122</v>
      </c>
      <c r="I51">
        <v>3162</v>
      </c>
      <c r="J51">
        <v>0</v>
      </c>
      <c r="K51">
        <v>6284</v>
      </c>
      <c r="L51">
        <v>348</v>
      </c>
      <c r="M51">
        <v>352</v>
      </c>
      <c r="N51">
        <v>275</v>
      </c>
      <c r="O51">
        <v>316</v>
      </c>
      <c r="P51">
        <v>281</v>
      </c>
      <c r="Q51">
        <v>238</v>
      </c>
      <c r="R51">
        <v>213</v>
      </c>
      <c r="S51">
        <v>199</v>
      </c>
      <c r="T51">
        <v>170</v>
      </c>
      <c r="U51">
        <v>177</v>
      </c>
      <c r="V51">
        <v>141</v>
      </c>
      <c r="W51">
        <v>101</v>
      </c>
      <c r="X51">
        <v>90</v>
      </c>
      <c r="Y51">
        <v>219</v>
      </c>
      <c r="Z51">
        <v>2</v>
      </c>
      <c r="AA51">
        <v>347</v>
      </c>
      <c r="AB51">
        <v>314</v>
      </c>
      <c r="AC51">
        <v>303</v>
      </c>
      <c r="AD51">
        <v>313</v>
      </c>
      <c r="AE51">
        <v>283</v>
      </c>
      <c r="AF51">
        <v>275</v>
      </c>
      <c r="AG51">
        <v>235</v>
      </c>
      <c r="AH51">
        <v>218</v>
      </c>
      <c r="AI51">
        <v>208</v>
      </c>
      <c r="AJ51">
        <v>145</v>
      </c>
      <c r="AK51">
        <v>154</v>
      </c>
      <c r="AL51">
        <v>83</v>
      </c>
      <c r="AM51">
        <v>88</v>
      </c>
      <c r="AN51">
        <v>193</v>
      </c>
      <c r="AO51">
        <v>3</v>
      </c>
      <c r="AP51">
        <v>5858</v>
      </c>
      <c r="AQ51">
        <v>416</v>
      </c>
      <c r="AR51">
        <v>2</v>
      </c>
      <c r="AS51">
        <v>3</v>
      </c>
      <c r="AT51">
        <v>5</v>
      </c>
      <c r="AU51">
        <v>794</v>
      </c>
      <c r="AV51">
        <v>385</v>
      </c>
      <c r="AW51">
        <v>409</v>
      </c>
      <c r="AX51">
        <v>518</v>
      </c>
      <c r="AY51">
        <v>793</v>
      </c>
      <c r="AZ51">
        <v>793</v>
      </c>
      <c r="BA51">
        <v>0</v>
      </c>
      <c r="BB51">
        <v>7</v>
      </c>
      <c r="BC51">
        <v>6</v>
      </c>
      <c r="BD51">
        <v>60</v>
      </c>
      <c r="BE51">
        <v>44</v>
      </c>
      <c r="BF51">
        <v>50</v>
      </c>
      <c r="BG51">
        <v>43</v>
      </c>
      <c r="BH51">
        <v>52</v>
      </c>
      <c r="BI51">
        <v>54</v>
      </c>
      <c r="BJ51">
        <v>37</v>
      </c>
      <c r="BK51">
        <v>37</v>
      </c>
      <c r="BL51">
        <v>23</v>
      </c>
      <c r="BM51">
        <v>44</v>
      </c>
      <c r="BN51">
        <v>26</v>
      </c>
      <c r="BO51">
        <v>21</v>
      </c>
      <c r="BP51">
        <v>23</v>
      </c>
      <c r="BQ51">
        <v>27</v>
      </c>
      <c r="BR51">
        <v>22</v>
      </c>
      <c r="BS51">
        <v>28</v>
      </c>
      <c r="BT51">
        <v>18</v>
      </c>
      <c r="BU51">
        <v>21</v>
      </c>
      <c r="BV51">
        <v>9</v>
      </c>
      <c r="BW51">
        <v>17</v>
      </c>
      <c r="BX51">
        <v>12</v>
      </c>
      <c r="BY51">
        <v>18</v>
      </c>
      <c r="BZ51">
        <v>19</v>
      </c>
      <c r="CA51">
        <v>17</v>
      </c>
      <c r="CB51">
        <v>27</v>
      </c>
      <c r="CC51">
        <v>32</v>
      </c>
      <c r="CD51">
        <v>366</v>
      </c>
      <c r="CE51">
        <v>384</v>
      </c>
      <c r="CF51">
        <v>15</v>
      </c>
      <c r="CG51">
        <v>22</v>
      </c>
      <c r="CH51">
        <v>1188</v>
      </c>
      <c r="CI51">
        <v>345</v>
      </c>
      <c r="CJ51">
        <v>4959</v>
      </c>
      <c r="CK51">
        <v>1218</v>
      </c>
      <c r="CL51">
        <v>95</v>
      </c>
      <c r="CM51">
        <v>218</v>
      </c>
      <c r="CN51">
        <v>344</v>
      </c>
      <c r="CO51">
        <v>355</v>
      </c>
      <c r="CP51">
        <v>249</v>
      </c>
      <c r="CQ51">
        <v>272</v>
      </c>
      <c r="CR51">
        <v>1152</v>
      </c>
      <c r="CS51">
        <v>2677</v>
      </c>
      <c r="CT51">
        <v>394</v>
      </c>
      <c r="CU51">
        <v>180</v>
      </c>
      <c r="CV51">
        <v>62</v>
      </c>
      <c r="CW51">
        <v>172</v>
      </c>
      <c r="CX51">
        <v>4</v>
      </c>
      <c r="CY51">
        <v>1059</v>
      </c>
      <c r="CZ51">
        <v>374</v>
      </c>
      <c r="DA51">
        <v>2</v>
      </c>
      <c r="DB51">
        <v>95</v>
      </c>
      <c r="DC51">
        <v>1</v>
      </c>
      <c r="DD51">
        <v>237</v>
      </c>
      <c r="DE51">
        <v>1394</v>
      </c>
      <c r="DF51">
        <v>588</v>
      </c>
      <c r="DG51">
        <v>4065</v>
      </c>
      <c r="DH51">
        <v>0</v>
      </c>
      <c r="DI51">
        <v>0</v>
      </c>
      <c r="DJ51">
        <v>0</v>
      </c>
      <c r="DK51">
        <v>0</v>
      </c>
      <c r="DL51">
        <v>0</v>
      </c>
      <c r="DM51">
        <v>9</v>
      </c>
      <c r="DN51">
        <v>8</v>
      </c>
      <c r="DO51">
        <v>2</v>
      </c>
      <c r="DP51">
        <v>3</v>
      </c>
      <c r="DQ51">
        <v>0</v>
      </c>
      <c r="DR51">
        <v>0</v>
      </c>
      <c r="DS51">
        <v>0</v>
      </c>
      <c r="DT51">
        <v>0</v>
      </c>
      <c r="DU51">
        <v>0</v>
      </c>
      <c r="DV51">
        <v>164</v>
      </c>
      <c r="DW51">
        <v>181</v>
      </c>
      <c r="DX51">
        <v>316</v>
      </c>
      <c r="DY51">
        <v>321</v>
      </c>
      <c r="DZ51">
        <v>98</v>
      </c>
      <c r="EA51">
        <v>109</v>
      </c>
      <c r="EB51">
        <v>54</v>
      </c>
      <c r="EC51">
        <v>45</v>
      </c>
      <c r="ED51">
        <v>38</v>
      </c>
      <c r="EE51">
        <v>38</v>
      </c>
      <c r="EF51">
        <v>59</v>
      </c>
      <c r="EG51">
        <v>65</v>
      </c>
      <c r="EH51">
        <v>35</v>
      </c>
      <c r="EI51">
        <v>36</v>
      </c>
      <c r="EJ51">
        <v>234</v>
      </c>
      <c r="EK51">
        <v>426</v>
      </c>
      <c r="EL51">
        <v>139</v>
      </c>
      <c r="EM51">
        <v>72</v>
      </c>
      <c r="EN51">
        <v>46</v>
      </c>
      <c r="EO51">
        <v>89</v>
      </c>
      <c r="EP51">
        <v>40</v>
      </c>
      <c r="EQ51">
        <v>1762</v>
      </c>
      <c r="ER51">
        <v>1691</v>
      </c>
      <c r="ES51">
        <v>71</v>
      </c>
      <c r="ET51">
        <v>525</v>
      </c>
      <c r="EU51">
        <v>384</v>
      </c>
      <c r="EV51">
        <v>381</v>
      </c>
      <c r="EW51">
        <v>3</v>
      </c>
      <c r="EX51">
        <v>1976</v>
      </c>
      <c r="EY51" s="26">
        <v>60.905549999999998</v>
      </c>
      <c r="EZ51" s="26">
        <v>6.7185980000000001</v>
      </c>
      <c r="FA51" s="26">
        <v>15.87147</v>
      </c>
      <c r="FB51" s="26">
        <v>16.358325000000001</v>
      </c>
      <c r="FC51" s="26">
        <v>0.14605599999999999</v>
      </c>
      <c r="FD51">
        <v>178</v>
      </c>
      <c r="FE51">
        <v>895</v>
      </c>
      <c r="FF51">
        <v>92</v>
      </c>
      <c r="FG51">
        <v>493</v>
      </c>
      <c r="FH51">
        <v>0</v>
      </c>
      <c r="FI51">
        <v>346</v>
      </c>
      <c r="FJ51">
        <v>142</v>
      </c>
      <c r="FK51" s="26" t="s">
        <v>359</v>
      </c>
      <c r="FL51" s="26" t="s">
        <v>359</v>
      </c>
      <c r="FM51" s="26" t="s">
        <v>359</v>
      </c>
      <c r="FN51" s="26" t="s">
        <v>359</v>
      </c>
      <c r="FO51" s="28">
        <v>2003</v>
      </c>
      <c r="FP51" s="28">
        <v>1117</v>
      </c>
      <c r="FQ51">
        <v>75</v>
      </c>
      <c r="FR51">
        <v>17</v>
      </c>
      <c r="FS51">
        <v>4</v>
      </c>
      <c r="FT51">
        <v>6</v>
      </c>
      <c r="FU51">
        <v>1910</v>
      </c>
      <c r="FV51">
        <v>2</v>
      </c>
      <c r="FW51">
        <v>3</v>
      </c>
      <c r="FX51">
        <v>2</v>
      </c>
      <c r="FY51">
        <v>2082</v>
      </c>
      <c r="FZ51">
        <v>1077</v>
      </c>
      <c r="GA51">
        <v>38</v>
      </c>
      <c r="GB51">
        <v>20</v>
      </c>
      <c r="GC51">
        <v>2</v>
      </c>
      <c r="GD51">
        <v>5</v>
      </c>
      <c r="GE51">
        <v>2018</v>
      </c>
      <c r="GF51">
        <v>2</v>
      </c>
      <c r="GG51">
        <v>2</v>
      </c>
      <c r="GH51">
        <v>3</v>
      </c>
      <c r="GI51">
        <v>187</v>
      </c>
      <c r="GJ51">
        <v>254</v>
      </c>
      <c r="GK51">
        <v>203</v>
      </c>
      <c r="GL51">
        <v>221</v>
      </c>
      <c r="GM51">
        <v>178</v>
      </c>
      <c r="GN51">
        <v>153</v>
      </c>
      <c r="GO51">
        <v>138</v>
      </c>
      <c r="GP51">
        <v>120</v>
      </c>
      <c r="GQ51">
        <v>105</v>
      </c>
      <c r="GR51">
        <v>104</v>
      </c>
      <c r="GS51">
        <v>80</v>
      </c>
      <c r="GT51">
        <v>61</v>
      </c>
      <c r="GU51">
        <v>62</v>
      </c>
      <c r="GV51">
        <v>40</v>
      </c>
      <c r="GW51">
        <v>32</v>
      </c>
      <c r="GX51">
        <v>28</v>
      </c>
      <c r="GY51">
        <v>20</v>
      </c>
      <c r="GZ51">
        <v>17</v>
      </c>
      <c r="HA51">
        <v>198</v>
      </c>
      <c r="HB51">
        <v>221</v>
      </c>
      <c r="HC51">
        <v>213</v>
      </c>
      <c r="HD51">
        <v>219</v>
      </c>
      <c r="HE51">
        <v>185</v>
      </c>
      <c r="HF51">
        <v>172</v>
      </c>
      <c r="HG51">
        <v>161</v>
      </c>
      <c r="HH51">
        <v>145</v>
      </c>
      <c r="HI51">
        <v>139</v>
      </c>
      <c r="HJ51">
        <v>93</v>
      </c>
      <c r="HK51">
        <v>90</v>
      </c>
      <c r="HL51">
        <v>56</v>
      </c>
      <c r="HM51">
        <v>57</v>
      </c>
      <c r="HN51">
        <v>42</v>
      </c>
      <c r="HO51">
        <v>34</v>
      </c>
      <c r="HP51">
        <v>28</v>
      </c>
      <c r="HQ51">
        <v>17</v>
      </c>
      <c r="HR51">
        <v>12</v>
      </c>
      <c r="HS51">
        <v>1355</v>
      </c>
      <c r="HT51">
        <v>0</v>
      </c>
      <c r="HU51">
        <v>0</v>
      </c>
      <c r="HV51">
        <v>0</v>
      </c>
      <c r="HW51">
        <v>3</v>
      </c>
      <c r="HX51">
        <v>0</v>
      </c>
      <c r="HY51">
        <v>0</v>
      </c>
      <c r="HZ51">
        <v>0</v>
      </c>
      <c r="IA51">
        <v>94</v>
      </c>
      <c r="IB51">
        <v>217</v>
      </c>
      <c r="IC51">
        <v>344</v>
      </c>
      <c r="ID51">
        <v>354</v>
      </c>
      <c r="IE51">
        <v>249</v>
      </c>
      <c r="IF51">
        <v>123</v>
      </c>
      <c r="IG51">
        <v>67</v>
      </c>
      <c r="IH51">
        <v>43</v>
      </c>
      <c r="II51">
        <v>39</v>
      </c>
      <c r="IJ51">
        <v>153</v>
      </c>
      <c r="IK51">
        <v>392</v>
      </c>
      <c r="IL51">
        <v>423</v>
      </c>
      <c r="IM51">
        <v>369</v>
      </c>
      <c r="IN51">
        <v>146</v>
      </c>
      <c r="IO51">
        <v>38</v>
      </c>
      <c r="IP51">
        <v>5</v>
      </c>
      <c r="IQ51">
        <v>1</v>
      </c>
      <c r="IR51">
        <v>1</v>
      </c>
      <c r="IS51">
        <v>741</v>
      </c>
      <c r="IT51">
        <v>572</v>
      </c>
      <c r="IU51">
        <v>180</v>
      </c>
      <c r="IV51">
        <v>29</v>
      </c>
      <c r="IW51">
        <v>6</v>
      </c>
      <c r="IX51">
        <v>723</v>
      </c>
      <c r="IY51">
        <v>134</v>
      </c>
      <c r="IZ51">
        <v>3</v>
      </c>
      <c r="JA51">
        <v>9</v>
      </c>
      <c r="JB51">
        <v>1</v>
      </c>
      <c r="JC51">
        <v>178</v>
      </c>
      <c r="JD51">
        <v>1474</v>
      </c>
      <c r="JE51">
        <v>54</v>
      </c>
      <c r="JF51">
        <v>2</v>
      </c>
      <c r="JH51" s="28">
        <v>1097.2382399272733</v>
      </c>
      <c r="JI51" s="28">
        <v>79.313233606999916</v>
      </c>
      <c r="JJ51">
        <v>238</v>
      </c>
      <c r="JK51">
        <v>1212</v>
      </c>
      <c r="JL51">
        <v>78</v>
      </c>
      <c r="JM51">
        <v>2</v>
      </c>
      <c r="JN51">
        <v>896</v>
      </c>
      <c r="JO51">
        <v>569</v>
      </c>
      <c r="JP51">
        <v>82</v>
      </c>
      <c r="JQ51">
        <v>683</v>
      </c>
      <c r="JR51">
        <v>1049</v>
      </c>
      <c r="JS51">
        <v>60</v>
      </c>
      <c r="JT51">
        <v>11</v>
      </c>
      <c r="JU51">
        <v>898</v>
      </c>
      <c r="JV51">
        <v>128</v>
      </c>
      <c r="JW51" s="28"/>
      <c r="JX51" s="28"/>
      <c r="JY51" s="28"/>
      <c r="JZ51" s="28"/>
      <c r="KA51" s="28">
        <v>1467.0000009</v>
      </c>
      <c r="KB51">
        <v>5540</v>
      </c>
      <c r="KC51">
        <v>0</v>
      </c>
      <c r="KD51">
        <v>0</v>
      </c>
      <c r="KE51">
        <v>0</v>
      </c>
      <c r="KF51">
        <v>7</v>
      </c>
      <c r="KG51">
        <v>0</v>
      </c>
      <c r="KH51">
        <v>0</v>
      </c>
      <c r="KI51">
        <v>0</v>
      </c>
      <c r="KJ51">
        <v>916</v>
      </c>
      <c r="KK51">
        <v>4950</v>
      </c>
      <c r="KL51">
        <v>299</v>
      </c>
      <c r="KM51">
        <v>5</v>
      </c>
      <c r="KT51">
        <v>840</v>
      </c>
      <c r="KU51">
        <v>817</v>
      </c>
      <c r="KV51">
        <v>677</v>
      </c>
      <c r="KW51">
        <v>113</v>
      </c>
      <c r="KX51">
        <v>28</v>
      </c>
      <c r="KZ51">
        <v>660</v>
      </c>
      <c r="LA51">
        <v>118</v>
      </c>
      <c r="LB51">
        <v>17</v>
      </c>
      <c r="LD51">
        <v>457</v>
      </c>
      <c r="LE51">
        <v>439</v>
      </c>
      <c r="LF51">
        <v>227</v>
      </c>
      <c r="LG51">
        <v>351</v>
      </c>
      <c r="LH51">
        <v>4340</v>
      </c>
      <c r="LI51">
        <v>5</v>
      </c>
      <c r="LJ51">
        <v>434</v>
      </c>
      <c r="LK51">
        <v>83</v>
      </c>
      <c r="LL51">
        <v>457</v>
      </c>
      <c r="LM51">
        <v>0</v>
      </c>
      <c r="LN51">
        <v>267</v>
      </c>
      <c r="LO51">
        <v>79</v>
      </c>
      <c r="LP51">
        <v>7</v>
      </c>
      <c r="LQ51">
        <v>401</v>
      </c>
      <c r="LR51">
        <v>84</v>
      </c>
      <c r="LS51">
        <v>567</v>
      </c>
      <c r="LT51">
        <v>0</v>
      </c>
      <c r="LU51">
        <v>258</v>
      </c>
      <c r="LV51">
        <v>62</v>
      </c>
      <c r="LW51" s="44"/>
      <c r="LX51" s="44"/>
      <c r="LY51" s="44"/>
      <c r="LZ51">
        <v>1530</v>
      </c>
      <c r="MA51">
        <v>6170</v>
      </c>
      <c r="MB51">
        <v>5384</v>
      </c>
      <c r="MC51">
        <v>692</v>
      </c>
      <c r="MD51" s="26">
        <v>13.317971999999999</v>
      </c>
      <c r="ME51" s="26">
        <v>10.569106</v>
      </c>
      <c r="MF51" s="26">
        <v>53.410137999999996</v>
      </c>
      <c r="MG51" s="26">
        <v>34.914066999999996</v>
      </c>
      <c r="MH51" s="26">
        <v>15.555555999999999</v>
      </c>
      <c r="MI51" s="26">
        <v>3.6601309999999998</v>
      </c>
      <c r="MJ51" s="26">
        <v>3.5947709999999997</v>
      </c>
      <c r="MK51" s="26">
        <v>3.5294119999999998</v>
      </c>
      <c r="ML51" s="26">
        <v>4.1176469999999998</v>
      </c>
      <c r="MM51" s="26">
        <v>62.810457999999997</v>
      </c>
      <c r="MN51" s="26">
        <v>41.437908</v>
      </c>
      <c r="MO51" s="26">
        <v>0.573689</v>
      </c>
      <c r="MP51" t="s">
        <v>1029</v>
      </c>
      <c r="MQ51">
        <v>568</v>
      </c>
      <c r="MR51">
        <v>55</v>
      </c>
    </row>
    <row r="52" spans="1:356">
      <c r="A52" t="s">
        <v>129</v>
      </c>
      <c r="B52" t="s">
        <v>130</v>
      </c>
      <c r="C52">
        <v>34937</v>
      </c>
      <c r="D52">
        <v>37818</v>
      </c>
      <c r="E52">
        <v>41063</v>
      </c>
      <c r="F52">
        <f t="shared" si="2"/>
        <v>3245</v>
      </c>
      <c r="G52" s="26">
        <f t="shared" si="3"/>
        <v>8.5805700988946967</v>
      </c>
      <c r="H52">
        <v>20370</v>
      </c>
      <c r="I52">
        <v>20693</v>
      </c>
      <c r="J52">
        <v>14169</v>
      </c>
      <c r="K52">
        <v>26894</v>
      </c>
      <c r="L52">
        <v>1875</v>
      </c>
      <c r="M52">
        <v>1933</v>
      </c>
      <c r="N52">
        <v>2025</v>
      </c>
      <c r="O52">
        <v>1698</v>
      </c>
      <c r="P52">
        <v>1455</v>
      </c>
      <c r="Q52">
        <v>1316</v>
      </c>
      <c r="R52">
        <v>1206</v>
      </c>
      <c r="S52">
        <v>1248</v>
      </c>
      <c r="T52">
        <v>1172</v>
      </c>
      <c r="U52">
        <v>1248</v>
      </c>
      <c r="V52">
        <v>1134</v>
      </c>
      <c r="W52">
        <v>880</v>
      </c>
      <c r="X52">
        <v>810</v>
      </c>
      <c r="Y52">
        <v>2370</v>
      </c>
      <c r="Z52">
        <v>0</v>
      </c>
      <c r="AA52">
        <v>1826</v>
      </c>
      <c r="AB52">
        <v>1896</v>
      </c>
      <c r="AC52">
        <v>1964</v>
      </c>
      <c r="AD52">
        <v>1652</v>
      </c>
      <c r="AE52">
        <v>1498</v>
      </c>
      <c r="AF52">
        <v>1378</v>
      </c>
      <c r="AG52">
        <v>1440</v>
      </c>
      <c r="AH52">
        <v>1473</v>
      </c>
      <c r="AI52">
        <v>1333</v>
      </c>
      <c r="AJ52">
        <v>1217</v>
      </c>
      <c r="AK52">
        <v>1121</v>
      </c>
      <c r="AL52">
        <v>920</v>
      </c>
      <c r="AM52">
        <v>772</v>
      </c>
      <c r="AN52">
        <v>2203</v>
      </c>
      <c r="AO52">
        <v>0</v>
      </c>
      <c r="AP52">
        <v>39740</v>
      </c>
      <c r="AQ52">
        <v>1271</v>
      </c>
      <c r="AR52">
        <v>26</v>
      </c>
      <c r="AS52">
        <v>18</v>
      </c>
      <c r="AT52">
        <v>8</v>
      </c>
      <c r="AU52">
        <v>2368</v>
      </c>
      <c r="AV52">
        <v>1194</v>
      </c>
      <c r="AW52">
        <v>1174</v>
      </c>
      <c r="AX52">
        <v>1543</v>
      </c>
      <c r="AY52">
        <v>2005</v>
      </c>
      <c r="AZ52">
        <v>1936</v>
      </c>
      <c r="BA52">
        <v>69</v>
      </c>
      <c r="BB52">
        <v>57</v>
      </c>
      <c r="BC52">
        <v>49</v>
      </c>
      <c r="BD52">
        <v>151</v>
      </c>
      <c r="BE52">
        <v>154</v>
      </c>
      <c r="BF52">
        <v>161</v>
      </c>
      <c r="BG52">
        <v>144</v>
      </c>
      <c r="BH52">
        <v>113</v>
      </c>
      <c r="BI52">
        <v>135</v>
      </c>
      <c r="BJ52">
        <v>114</v>
      </c>
      <c r="BK52">
        <v>112</v>
      </c>
      <c r="BL52">
        <v>96</v>
      </c>
      <c r="BM52">
        <v>99</v>
      </c>
      <c r="BN52">
        <v>78</v>
      </c>
      <c r="BO52">
        <v>94</v>
      </c>
      <c r="BP52">
        <v>103</v>
      </c>
      <c r="BQ52">
        <v>90</v>
      </c>
      <c r="BR52">
        <v>74</v>
      </c>
      <c r="BS52">
        <v>71</v>
      </c>
      <c r="BT52">
        <v>62</v>
      </c>
      <c r="BU52">
        <v>70</v>
      </c>
      <c r="BV52">
        <v>44</v>
      </c>
      <c r="BW52">
        <v>32</v>
      </c>
      <c r="BX52">
        <v>43</v>
      </c>
      <c r="BY52">
        <v>45</v>
      </c>
      <c r="BZ52">
        <v>32</v>
      </c>
      <c r="CA52">
        <v>26</v>
      </c>
      <c r="CB52">
        <v>66</v>
      </c>
      <c r="CC52">
        <v>53</v>
      </c>
      <c r="CD52">
        <v>1158</v>
      </c>
      <c r="CE52">
        <v>1112</v>
      </c>
      <c r="CF52">
        <v>35</v>
      </c>
      <c r="CG52">
        <v>59</v>
      </c>
      <c r="CH52">
        <v>8731</v>
      </c>
      <c r="CI52">
        <v>2546</v>
      </c>
      <c r="CJ52">
        <v>33135</v>
      </c>
      <c r="CK52">
        <v>7928</v>
      </c>
      <c r="CL52">
        <v>1311</v>
      </c>
      <c r="CM52">
        <v>2206</v>
      </c>
      <c r="CN52">
        <v>2172</v>
      </c>
      <c r="CO52">
        <v>2436</v>
      </c>
      <c r="CP52">
        <v>1568</v>
      </c>
      <c r="CQ52">
        <v>1584</v>
      </c>
      <c r="CR52">
        <v>7934</v>
      </c>
      <c r="CS52">
        <v>15630</v>
      </c>
      <c r="CT52">
        <v>3661</v>
      </c>
      <c r="CU52">
        <v>1081</v>
      </c>
      <c r="CV52">
        <v>358</v>
      </c>
      <c r="CW52">
        <v>1018</v>
      </c>
      <c r="CX52">
        <v>104</v>
      </c>
      <c r="CY52">
        <v>7027</v>
      </c>
      <c r="CZ52">
        <v>2870</v>
      </c>
      <c r="DA52">
        <v>58</v>
      </c>
      <c r="DB52">
        <v>1311</v>
      </c>
      <c r="DC52">
        <v>11</v>
      </c>
      <c r="DD52">
        <v>2353</v>
      </c>
      <c r="DE52">
        <v>1228</v>
      </c>
      <c r="DF52">
        <v>3121</v>
      </c>
      <c r="DG52">
        <v>20192</v>
      </c>
      <c r="DH52">
        <v>2573</v>
      </c>
      <c r="DI52">
        <v>0</v>
      </c>
      <c r="DJ52">
        <v>11596</v>
      </c>
      <c r="DK52">
        <v>0</v>
      </c>
      <c r="DL52">
        <v>0</v>
      </c>
      <c r="DM52">
        <v>313</v>
      </c>
      <c r="DN52">
        <v>8</v>
      </c>
      <c r="DO52">
        <v>8</v>
      </c>
      <c r="DP52">
        <v>20</v>
      </c>
      <c r="DQ52">
        <v>1</v>
      </c>
      <c r="DR52">
        <v>0</v>
      </c>
      <c r="DS52">
        <v>1</v>
      </c>
      <c r="DT52">
        <v>0</v>
      </c>
      <c r="DU52">
        <v>0</v>
      </c>
      <c r="DV52">
        <v>1487</v>
      </c>
      <c r="DW52">
        <v>1542</v>
      </c>
      <c r="DX52">
        <v>1687</v>
      </c>
      <c r="DY52">
        <v>1907</v>
      </c>
      <c r="DZ52">
        <v>918</v>
      </c>
      <c r="EA52">
        <v>692</v>
      </c>
      <c r="EB52">
        <v>367</v>
      </c>
      <c r="EC52">
        <v>301</v>
      </c>
      <c r="ED52">
        <v>317</v>
      </c>
      <c r="EE52">
        <v>380</v>
      </c>
      <c r="EF52">
        <v>545</v>
      </c>
      <c r="EG52">
        <v>566</v>
      </c>
      <c r="EH52">
        <v>205</v>
      </c>
      <c r="EI52">
        <v>183</v>
      </c>
      <c r="EJ52">
        <v>2085</v>
      </c>
      <c r="EK52">
        <v>2412</v>
      </c>
      <c r="EL52">
        <v>1060</v>
      </c>
      <c r="EM52">
        <v>422</v>
      </c>
      <c r="EN52">
        <v>443</v>
      </c>
      <c r="EO52">
        <v>765</v>
      </c>
      <c r="EP52">
        <v>249</v>
      </c>
      <c r="EQ52">
        <v>12608</v>
      </c>
      <c r="ER52">
        <v>12485</v>
      </c>
      <c r="ES52">
        <v>123</v>
      </c>
      <c r="ET52">
        <v>3072</v>
      </c>
      <c r="EU52">
        <v>7209</v>
      </c>
      <c r="EV52">
        <v>7165</v>
      </c>
      <c r="EW52">
        <v>44</v>
      </c>
      <c r="EX52">
        <v>8958</v>
      </c>
      <c r="EY52" s="26">
        <v>44.617092</v>
      </c>
      <c r="EZ52" s="26">
        <v>14.213374</v>
      </c>
      <c r="FA52" s="26">
        <v>12.187847</v>
      </c>
      <c r="FB52" s="26">
        <v>28.655660000000001</v>
      </c>
      <c r="FC52" s="26">
        <v>0.32602700000000001</v>
      </c>
      <c r="FD52">
        <v>1538</v>
      </c>
      <c r="FE52">
        <v>6703</v>
      </c>
      <c r="FF52">
        <v>828</v>
      </c>
      <c r="FG52">
        <v>4453</v>
      </c>
      <c r="FH52">
        <v>11</v>
      </c>
      <c r="FI52">
        <v>3816</v>
      </c>
      <c r="FJ52">
        <v>2452</v>
      </c>
      <c r="FK52" s="26" t="s">
        <v>359</v>
      </c>
      <c r="FL52" s="26" t="s">
        <v>359</v>
      </c>
      <c r="FM52" s="26" t="s">
        <v>359</v>
      </c>
      <c r="FN52" s="26" t="s">
        <v>359</v>
      </c>
      <c r="FO52" s="28">
        <v>13165</v>
      </c>
      <c r="FP52" s="28">
        <v>7198</v>
      </c>
      <c r="FQ52">
        <v>1657</v>
      </c>
      <c r="FR52">
        <v>923</v>
      </c>
      <c r="FS52">
        <v>428</v>
      </c>
      <c r="FT52">
        <v>226</v>
      </c>
      <c r="FU52">
        <v>9685</v>
      </c>
      <c r="FV52">
        <v>150</v>
      </c>
      <c r="FW52">
        <v>89</v>
      </c>
      <c r="FX52">
        <v>7</v>
      </c>
      <c r="FY52">
        <v>14055</v>
      </c>
      <c r="FZ52">
        <v>6637</v>
      </c>
      <c r="GA52">
        <v>1573</v>
      </c>
      <c r="GB52">
        <v>963</v>
      </c>
      <c r="GC52">
        <v>571</v>
      </c>
      <c r="GD52">
        <v>206</v>
      </c>
      <c r="GE52">
        <v>10442</v>
      </c>
      <c r="GF52">
        <v>139</v>
      </c>
      <c r="GG52">
        <v>112</v>
      </c>
      <c r="GH52">
        <v>1</v>
      </c>
      <c r="GI52">
        <v>1075</v>
      </c>
      <c r="GJ52">
        <v>1359</v>
      </c>
      <c r="GK52">
        <v>1429</v>
      </c>
      <c r="GL52">
        <v>1221</v>
      </c>
      <c r="GM52">
        <v>820</v>
      </c>
      <c r="GN52">
        <v>772</v>
      </c>
      <c r="GO52">
        <v>727</v>
      </c>
      <c r="GP52">
        <v>795</v>
      </c>
      <c r="GQ52">
        <v>745</v>
      </c>
      <c r="GR52">
        <v>809</v>
      </c>
      <c r="GS52">
        <v>710</v>
      </c>
      <c r="GT52">
        <v>567</v>
      </c>
      <c r="GU52">
        <v>515</v>
      </c>
      <c r="GV52">
        <v>484</v>
      </c>
      <c r="GW52">
        <v>397</v>
      </c>
      <c r="GX52">
        <v>355</v>
      </c>
      <c r="GY52">
        <v>210</v>
      </c>
      <c r="GZ52">
        <v>175</v>
      </c>
      <c r="HA52">
        <v>1046</v>
      </c>
      <c r="HB52">
        <v>1312</v>
      </c>
      <c r="HC52">
        <v>1400</v>
      </c>
      <c r="HD52">
        <v>1153</v>
      </c>
      <c r="HE52">
        <v>959</v>
      </c>
      <c r="HF52">
        <v>913</v>
      </c>
      <c r="HG52">
        <v>971</v>
      </c>
      <c r="HH52">
        <v>1054</v>
      </c>
      <c r="HI52">
        <v>915</v>
      </c>
      <c r="HJ52">
        <v>861</v>
      </c>
      <c r="HK52">
        <v>760</v>
      </c>
      <c r="HL52">
        <v>631</v>
      </c>
      <c r="HM52">
        <v>532</v>
      </c>
      <c r="HN52">
        <v>472</v>
      </c>
      <c r="HO52">
        <v>402</v>
      </c>
      <c r="HP52">
        <v>294</v>
      </c>
      <c r="HQ52">
        <v>198</v>
      </c>
      <c r="HR52">
        <v>182</v>
      </c>
      <c r="HS52">
        <v>10315</v>
      </c>
      <c r="HT52">
        <v>0</v>
      </c>
      <c r="HU52">
        <v>6</v>
      </c>
      <c r="HV52">
        <v>0</v>
      </c>
      <c r="HW52">
        <v>10</v>
      </c>
      <c r="HX52">
        <v>0</v>
      </c>
      <c r="HY52">
        <v>26</v>
      </c>
      <c r="HZ52">
        <v>4</v>
      </c>
      <c r="IA52">
        <v>1301</v>
      </c>
      <c r="IB52">
        <v>2195</v>
      </c>
      <c r="IC52">
        <v>2169</v>
      </c>
      <c r="ID52">
        <v>2433</v>
      </c>
      <c r="IE52">
        <v>1562</v>
      </c>
      <c r="IF52">
        <v>781</v>
      </c>
      <c r="IG52">
        <v>370</v>
      </c>
      <c r="IH52">
        <v>193</v>
      </c>
      <c r="II52">
        <v>237</v>
      </c>
      <c r="IJ52">
        <v>977</v>
      </c>
      <c r="IK52">
        <v>2646</v>
      </c>
      <c r="IL52">
        <v>3335</v>
      </c>
      <c r="IM52">
        <v>2537</v>
      </c>
      <c r="IN52">
        <v>1172</v>
      </c>
      <c r="IO52">
        <v>390</v>
      </c>
      <c r="IP52">
        <v>98</v>
      </c>
      <c r="IQ52">
        <v>51</v>
      </c>
      <c r="IR52">
        <v>35</v>
      </c>
      <c r="IS52">
        <v>4656</v>
      </c>
      <c r="IT52">
        <v>4640</v>
      </c>
      <c r="IU52">
        <v>1548</v>
      </c>
      <c r="IV52">
        <v>320</v>
      </c>
      <c r="IW52">
        <v>77</v>
      </c>
      <c r="IX52">
        <v>2531</v>
      </c>
      <c r="IY52">
        <v>4692</v>
      </c>
      <c r="IZ52">
        <v>6</v>
      </c>
      <c r="JA52">
        <v>129</v>
      </c>
      <c r="JB52">
        <v>53</v>
      </c>
      <c r="JC52">
        <v>277</v>
      </c>
      <c r="JD52">
        <v>10707</v>
      </c>
      <c r="JE52">
        <v>534</v>
      </c>
      <c r="JF52">
        <v>0</v>
      </c>
      <c r="JH52" s="28">
        <v>8847.5706409416707</v>
      </c>
      <c r="JI52" s="28">
        <v>760.35600035943173</v>
      </c>
      <c r="JJ52">
        <v>927</v>
      </c>
      <c r="JK52">
        <v>9610</v>
      </c>
      <c r="JL52">
        <v>704</v>
      </c>
      <c r="JM52">
        <v>0</v>
      </c>
      <c r="JN52">
        <v>8669</v>
      </c>
      <c r="JO52">
        <v>5984</v>
      </c>
      <c r="JP52">
        <v>2155</v>
      </c>
      <c r="JQ52">
        <v>6701</v>
      </c>
      <c r="JR52">
        <v>9723</v>
      </c>
      <c r="JS52">
        <v>1130</v>
      </c>
      <c r="JT52">
        <v>1585</v>
      </c>
      <c r="JU52">
        <v>7625</v>
      </c>
      <c r="JV52">
        <v>1696</v>
      </c>
      <c r="JW52" s="28"/>
      <c r="JX52" s="28"/>
      <c r="JY52" s="28"/>
      <c r="JZ52" s="28"/>
      <c r="KA52" s="28">
        <v>11094.99998103</v>
      </c>
      <c r="KB52">
        <v>37652</v>
      </c>
      <c r="KC52">
        <v>0</v>
      </c>
      <c r="KD52">
        <v>22</v>
      </c>
      <c r="KE52">
        <v>0</v>
      </c>
      <c r="KF52">
        <v>23</v>
      </c>
      <c r="KG52">
        <v>0</v>
      </c>
      <c r="KH52">
        <v>80</v>
      </c>
      <c r="KI52">
        <v>18</v>
      </c>
      <c r="KJ52">
        <v>3785</v>
      </c>
      <c r="KK52">
        <v>34670</v>
      </c>
      <c r="KL52">
        <v>2505</v>
      </c>
      <c r="KM52">
        <v>0</v>
      </c>
      <c r="KT52">
        <v>5649</v>
      </c>
      <c r="KU52">
        <v>5482</v>
      </c>
      <c r="KV52">
        <v>4475</v>
      </c>
      <c r="KW52">
        <v>704</v>
      </c>
      <c r="KX52">
        <v>301</v>
      </c>
      <c r="KZ52">
        <v>4322</v>
      </c>
      <c r="LA52">
        <v>679</v>
      </c>
      <c r="LB52">
        <v>306</v>
      </c>
      <c r="LD52">
        <v>3147</v>
      </c>
      <c r="LE52">
        <v>3096</v>
      </c>
      <c r="LF52">
        <v>1379</v>
      </c>
      <c r="LG52">
        <v>1720</v>
      </c>
      <c r="LH52">
        <v>29544</v>
      </c>
      <c r="LI52">
        <v>59</v>
      </c>
      <c r="LJ52">
        <v>2148</v>
      </c>
      <c r="LK52">
        <v>482</v>
      </c>
      <c r="LL52">
        <v>3028</v>
      </c>
      <c r="LM52">
        <v>4</v>
      </c>
      <c r="LN52">
        <v>2266</v>
      </c>
      <c r="LO52">
        <v>1198</v>
      </c>
      <c r="LP52">
        <v>53</v>
      </c>
      <c r="LQ52">
        <v>2333</v>
      </c>
      <c r="LR52">
        <v>452</v>
      </c>
      <c r="LS52">
        <v>3505</v>
      </c>
      <c r="LT52">
        <v>8</v>
      </c>
      <c r="LU52">
        <v>1956</v>
      </c>
      <c r="LV52">
        <v>1057</v>
      </c>
      <c r="LW52" s="44"/>
      <c r="LX52" s="44"/>
      <c r="LY52" s="44"/>
      <c r="LZ52">
        <v>11241</v>
      </c>
      <c r="MA52">
        <v>40960</v>
      </c>
      <c r="MB52">
        <v>39109</v>
      </c>
      <c r="MC52">
        <v>2325</v>
      </c>
      <c r="MD52" s="26">
        <v>10.489438999999999</v>
      </c>
      <c r="ME52" s="26">
        <v>6.2676849999999993</v>
      </c>
      <c r="MF52" s="26">
        <v>46.533982999999999</v>
      </c>
      <c r="MG52" s="26">
        <v>33.692132000000001</v>
      </c>
      <c r="MH52" s="26">
        <v>8.2465969999999995</v>
      </c>
      <c r="MI52" s="26">
        <v>2.9356819999999999</v>
      </c>
      <c r="MJ52" s="26">
        <v>7.4014769999999999</v>
      </c>
      <c r="MK52" s="26">
        <v>4.7504669999999996</v>
      </c>
      <c r="ML52" s="26">
        <v>1.2988169999999999</v>
      </c>
      <c r="MM52" s="26">
        <v>46.766301999999996</v>
      </c>
      <c r="MN52" s="26">
        <v>22.880527000000001</v>
      </c>
      <c r="MO52" s="26">
        <v>-0.11716799999999999</v>
      </c>
      <c r="MP52" t="s">
        <v>1027</v>
      </c>
      <c r="MQ52">
        <v>1145</v>
      </c>
      <c r="MR52">
        <v>103</v>
      </c>
    </row>
    <row r="53" spans="1:356">
      <c r="A53" t="s">
        <v>131</v>
      </c>
      <c r="B53" t="s">
        <v>132</v>
      </c>
      <c r="C53">
        <v>13076</v>
      </c>
      <c r="D53">
        <v>18683</v>
      </c>
      <c r="E53">
        <v>24966</v>
      </c>
      <c r="F53">
        <f t="shared" si="2"/>
        <v>6283</v>
      </c>
      <c r="G53" s="26">
        <f t="shared" si="3"/>
        <v>33.629502756516615</v>
      </c>
      <c r="H53">
        <v>12427</v>
      </c>
      <c r="I53">
        <v>12539</v>
      </c>
      <c r="J53">
        <v>11250</v>
      </c>
      <c r="K53">
        <v>13716</v>
      </c>
      <c r="L53">
        <v>1583</v>
      </c>
      <c r="M53">
        <v>1640</v>
      </c>
      <c r="N53">
        <v>1563</v>
      </c>
      <c r="O53">
        <v>1351</v>
      </c>
      <c r="P53">
        <v>1158</v>
      </c>
      <c r="Q53">
        <v>870</v>
      </c>
      <c r="R53">
        <v>807</v>
      </c>
      <c r="S53">
        <v>662</v>
      </c>
      <c r="T53">
        <v>503</v>
      </c>
      <c r="U53">
        <v>422</v>
      </c>
      <c r="V53">
        <v>297</v>
      </c>
      <c r="W53">
        <v>256</v>
      </c>
      <c r="X53">
        <v>228</v>
      </c>
      <c r="Y53">
        <v>513</v>
      </c>
      <c r="Z53">
        <v>574</v>
      </c>
      <c r="AA53">
        <v>1676</v>
      </c>
      <c r="AB53">
        <v>1677</v>
      </c>
      <c r="AC53">
        <v>1455</v>
      </c>
      <c r="AD53">
        <v>1232</v>
      </c>
      <c r="AE53">
        <v>1193</v>
      </c>
      <c r="AF53">
        <v>894</v>
      </c>
      <c r="AG53">
        <v>844</v>
      </c>
      <c r="AH53">
        <v>728</v>
      </c>
      <c r="AI53">
        <v>541</v>
      </c>
      <c r="AJ53">
        <v>401</v>
      </c>
      <c r="AK53">
        <v>336</v>
      </c>
      <c r="AL53">
        <v>297</v>
      </c>
      <c r="AM53">
        <v>210</v>
      </c>
      <c r="AN53">
        <v>480</v>
      </c>
      <c r="AO53">
        <v>575</v>
      </c>
      <c r="AP53">
        <v>23710</v>
      </c>
      <c r="AQ53">
        <v>94</v>
      </c>
      <c r="AR53">
        <v>10</v>
      </c>
      <c r="AS53">
        <v>1</v>
      </c>
      <c r="AT53">
        <v>1151</v>
      </c>
      <c r="AU53">
        <v>15704</v>
      </c>
      <c r="AV53">
        <v>7946</v>
      </c>
      <c r="AW53">
        <v>7758</v>
      </c>
      <c r="AX53">
        <v>7886</v>
      </c>
      <c r="AY53">
        <v>12339</v>
      </c>
      <c r="AZ53">
        <v>9183</v>
      </c>
      <c r="BA53">
        <v>3156</v>
      </c>
      <c r="BB53">
        <v>476</v>
      </c>
      <c r="BC53">
        <v>447</v>
      </c>
      <c r="BD53">
        <v>1214</v>
      </c>
      <c r="BE53">
        <v>1246</v>
      </c>
      <c r="BF53">
        <v>1168</v>
      </c>
      <c r="BG53">
        <v>1069</v>
      </c>
      <c r="BH53">
        <v>1004</v>
      </c>
      <c r="BI53">
        <v>902</v>
      </c>
      <c r="BJ53">
        <v>846</v>
      </c>
      <c r="BK53">
        <v>868</v>
      </c>
      <c r="BL53">
        <v>647</v>
      </c>
      <c r="BM53">
        <v>629</v>
      </c>
      <c r="BN53">
        <v>596</v>
      </c>
      <c r="BO53">
        <v>611</v>
      </c>
      <c r="BP53">
        <v>488</v>
      </c>
      <c r="BQ53">
        <v>504</v>
      </c>
      <c r="BR53">
        <v>334</v>
      </c>
      <c r="BS53">
        <v>346</v>
      </c>
      <c r="BT53">
        <v>291</v>
      </c>
      <c r="BU53">
        <v>266</v>
      </c>
      <c r="BV53">
        <v>210</v>
      </c>
      <c r="BW53">
        <v>223</v>
      </c>
      <c r="BX53">
        <v>164</v>
      </c>
      <c r="BY53">
        <v>199</v>
      </c>
      <c r="BZ53">
        <v>156</v>
      </c>
      <c r="CA53">
        <v>130</v>
      </c>
      <c r="CB53">
        <v>352</v>
      </c>
      <c r="CC53">
        <v>318</v>
      </c>
      <c r="CD53">
        <v>6953</v>
      </c>
      <c r="CE53">
        <v>6265</v>
      </c>
      <c r="CF53">
        <v>942</v>
      </c>
      <c r="CG53">
        <v>1427</v>
      </c>
      <c r="CH53">
        <v>4354</v>
      </c>
      <c r="CI53">
        <v>1087</v>
      </c>
      <c r="CJ53">
        <v>20574</v>
      </c>
      <c r="CK53">
        <v>4328</v>
      </c>
      <c r="CL53">
        <v>295</v>
      </c>
      <c r="CM53">
        <v>732</v>
      </c>
      <c r="CN53">
        <v>837</v>
      </c>
      <c r="CO53">
        <v>1037</v>
      </c>
      <c r="CP53">
        <v>866</v>
      </c>
      <c r="CQ53">
        <v>1674</v>
      </c>
      <c r="CR53">
        <v>4212</v>
      </c>
      <c r="CS53">
        <v>12298</v>
      </c>
      <c r="CT53">
        <v>1079</v>
      </c>
      <c r="CU53">
        <v>515</v>
      </c>
      <c r="CV53">
        <v>134</v>
      </c>
      <c r="CW53">
        <v>304</v>
      </c>
      <c r="CX53">
        <v>24</v>
      </c>
      <c r="CY53">
        <v>3936</v>
      </c>
      <c r="CZ53">
        <v>946</v>
      </c>
      <c r="DA53">
        <v>14</v>
      </c>
      <c r="DB53">
        <v>295</v>
      </c>
      <c r="DC53">
        <v>2</v>
      </c>
      <c r="DD53">
        <v>1147</v>
      </c>
      <c r="DE53">
        <v>2274</v>
      </c>
      <c r="DF53">
        <v>2318</v>
      </c>
      <c r="DG53">
        <v>7977</v>
      </c>
      <c r="DH53">
        <v>5670</v>
      </c>
      <c r="DI53">
        <v>5580</v>
      </c>
      <c r="DJ53">
        <v>0</v>
      </c>
      <c r="DK53">
        <v>0</v>
      </c>
      <c r="DL53">
        <v>0</v>
      </c>
      <c r="DM53">
        <v>25</v>
      </c>
      <c r="DN53">
        <v>15</v>
      </c>
      <c r="DO53">
        <v>7</v>
      </c>
      <c r="DP53">
        <v>9</v>
      </c>
      <c r="DQ53">
        <v>2</v>
      </c>
      <c r="DR53">
        <v>1</v>
      </c>
      <c r="DS53">
        <v>0</v>
      </c>
      <c r="DT53">
        <v>0</v>
      </c>
      <c r="DU53">
        <v>0</v>
      </c>
      <c r="DV53">
        <v>336</v>
      </c>
      <c r="DW53">
        <v>367</v>
      </c>
      <c r="DX53">
        <v>677</v>
      </c>
      <c r="DY53">
        <v>761</v>
      </c>
      <c r="DZ53">
        <v>375</v>
      </c>
      <c r="EA53">
        <v>316</v>
      </c>
      <c r="EB53">
        <v>249</v>
      </c>
      <c r="EC53">
        <v>206</v>
      </c>
      <c r="ED53">
        <v>152</v>
      </c>
      <c r="EE53">
        <v>172</v>
      </c>
      <c r="EF53">
        <v>212</v>
      </c>
      <c r="EG53">
        <v>234</v>
      </c>
      <c r="EH53">
        <v>91</v>
      </c>
      <c r="EI53">
        <v>86</v>
      </c>
      <c r="EJ53">
        <v>488</v>
      </c>
      <c r="EK53">
        <v>1041</v>
      </c>
      <c r="EL53">
        <v>502</v>
      </c>
      <c r="EM53">
        <v>320</v>
      </c>
      <c r="EN53">
        <v>217</v>
      </c>
      <c r="EO53">
        <v>308</v>
      </c>
      <c r="EP53">
        <v>130</v>
      </c>
      <c r="EQ53">
        <v>6716</v>
      </c>
      <c r="ER53">
        <v>6655</v>
      </c>
      <c r="ES53">
        <v>61</v>
      </c>
      <c r="ET53">
        <v>1208</v>
      </c>
      <c r="EU53">
        <v>3341</v>
      </c>
      <c r="EV53">
        <v>3333</v>
      </c>
      <c r="EW53">
        <v>8</v>
      </c>
      <c r="EX53">
        <v>4673</v>
      </c>
      <c r="EY53" s="26">
        <v>63.114060000000002</v>
      </c>
      <c r="EZ53" s="26">
        <v>10.954263000000001</v>
      </c>
      <c r="FA53" s="26">
        <v>7.8910220000000004</v>
      </c>
      <c r="FB53" s="26">
        <v>17.377188</v>
      </c>
      <c r="FC53" s="26">
        <v>0.66346700000000003</v>
      </c>
      <c r="FD53">
        <v>1142</v>
      </c>
      <c r="FE53">
        <v>3114</v>
      </c>
      <c r="FF53">
        <v>593</v>
      </c>
      <c r="FG53">
        <v>2876</v>
      </c>
      <c r="FH53">
        <v>5</v>
      </c>
      <c r="FI53">
        <v>1572</v>
      </c>
      <c r="FJ53">
        <v>748</v>
      </c>
      <c r="FK53" s="26" t="s">
        <v>359</v>
      </c>
      <c r="FL53" s="26" t="s">
        <v>359</v>
      </c>
      <c r="FM53" s="26" t="s">
        <v>359</v>
      </c>
      <c r="FN53" s="26" t="s">
        <v>359</v>
      </c>
      <c r="FO53" s="28">
        <v>8460</v>
      </c>
      <c r="FP53" s="28">
        <v>3393</v>
      </c>
      <c r="FQ53">
        <v>242</v>
      </c>
      <c r="FR53">
        <v>278</v>
      </c>
      <c r="FS53">
        <v>49</v>
      </c>
      <c r="FT53">
        <v>6</v>
      </c>
      <c r="FU53">
        <v>7725</v>
      </c>
      <c r="FV53">
        <v>24</v>
      </c>
      <c r="FW53">
        <v>14</v>
      </c>
      <c r="FX53">
        <v>574</v>
      </c>
      <c r="FY53">
        <v>8806</v>
      </c>
      <c r="FZ53">
        <v>3155</v>
      </c>
      <c r="GA53">
        <v>232</v>
      </c>
      <c r="GB53">
        <v>256</v>
      </c>
      <c r="GC53">
        <v>54</v>
      </c>
      <c r="GD53">
        <v>5</v>
      </c>
      <c r="GE53">
        <v>8024</v>
      </c>
      <c r="GF53">
        <v>40</v>
      </c>
      <c r="GG53">
        <v>7</v>
      </c>
      <c r="GH53">
        <v>578</v>
      </c>
      <c r="GI53">
        <v>887</v>
      </c>
      <c r="GJ53">
        <v>1307</v>
      </c>
      <c r="GK53">
        <v>1244</v>
      </c>
      <c r="GL53">
        <v>975</v>
      </c>
      <c r="GM53">
        <v>699</v>
      </c>
      <c r="GN53">
        <v>602</v>
      </c>
      <c r="GO53">
        <v>604</v>
      </c>
      <c r="GP53">
        <v>511</v>
      </c>
      <c r="GQ53">
        <v>361</v>
      </c>
      <c r="GR53">
        <v>319</v>
      </c>
      <c r="GS53">
        <v>212</v>
      </c>
      <c r="GT53">
        <v>191</v>
      </c>
      <c r="GU53">
        <v>158</v>
      </c>
      <c r="GV53">
        <v>145</v>
      </c>
      <c r="GW53">
        <v>100</v>
      </c>
      <c r="GX53">
        <v>71</v>
      </c>
      <c r="GY53">
        <v>39</v>
      </c>
      <c r="GZ53">
        <v>35</v>
      </c>
      <c r="HA53">
        <v>883</v>
      </c>
      <c r="HB53">
        <v>1289</v>
      </c>
      <c r="HC53">
        <v>1172</v>
      </c>
      <c r="HD53">
        <v>796</v>
      </c>
      <c r="HE53">
        <v>839</v>
      </c>
      <c r="HF53">
        <v>723</v>
      </c>
      <c r="HG53">
        <v>694</v>
      </c>
      <c r="HH53">
        <v>605</v>
      </c>
      <c r="HI53">
        <v>455</v>
      </c>
      <c r="HJ53">
        <v>322</v>
      </c>
      <c r="HK53">
        <v>265</v>
      </c>
      <c r="HL53">
        <v>232</v>
      </c>
      <c r="HM53">
        <v>162</v>
      </c>
      <c r="HN53">
        <v>151</v>
      </c>
      <c r="HO53">
        <v>84</v>
      </c>
      <c r="HP53">
        <v>60</v>
      </c>
      <c r="HQ53">
        <v>37</v>
      </c>
      <c r="HR53">
        <v>37</v>
      </c>
      <c r="HS53">
        <v>4614</v>
      </c>
      <c r="HT53">
        <v>0</v>
      </c>
      <c r="HU53">
        <v>1</v>
      </c>
      <c r="HV53">
        <v>0</v>
      </c>
      <c r="HW53">
        <v>3</v>
      </c>
      <c r="HX53">
        <v>0</v>
      </c>
      <c r="HY53">
        <v>2</v>
      </c>
      <c r="HZ53">
        <v>251</v>
      </c>
      <c r="IA53">
        <v>295</v>
      </c>
      <c r="IB53">
        <v>732</v>
      </c>
      <c r="IC53">
        <v>836</v>
      </c>
      <c r="ID53">
        <v>1035</v>
      </c>
      <c r="IE53">
        <v>865</v>
      </c>
      <c r="IF53">
        <v>687</v>
      </c>
      <c r="IG53">
        <v>448</v>
      </c>
      <c r="IH53">
        <v>260</v>
      </c>
      <c r="II53">
        <v>278</v>
      </c>
      <c r="IJ53">
        <v>519</v>
      </c>
      <c r="IK53">
        <v>1441</v>
      </c>
      <c r="IL53">
        <v>1392</v>
      </c>
      <c r="IM53">
        <v>1020</v>
      </c>
      <c r="IN53">
        <v>530</v>
      </c>
      <c r="IO53">
        <v>196</v>
      </c>
      <c r="IP53">
        <v>52</v>
      </c>
      <c r="IQ53">
        <v>17</v>
      </c>
      <c r="IR53">
        <v>15</v>
      </c>
      <c r="IS53">
        <v>2361</v>
      </c>
      <c r="IT53">
        <v>1855</v>
      </c>
      <c r="IU53">
        <v>655</v>
      </c>
      <c r="IV53">
        <v>246</v>
      </c>
      <c r="IW53">
        <v>65</v>
      </c>
      <c r="IX53">
        <v>1428</v>
      </c>
      <c r="IY53">
        <v>2508</v>
      </c>
      <c r="IZ53">
        <v>1</v>
      </c>
      <c r="JA53">
        <v>36</v>
      </c>
      <c r="JB53">
        <v>0</v>
      </c>
      <c r="JC53">
        <v>352</v>
      </c>
      <c r="JD53">
        <v>4972</v>
      </c>
      <c r="JE53">
        <v>210</v>
      </c>
      <c r="JF53">
        <v>254</v>
      </c>
      <c r="JH53" s="28">
        <v>3726.8646350625036</v>
      </c>
      <c r="JI53" s="28">
        <v>85.322933941134167</v>
      </c>
      <c r="JJ53">
        <v>488</v>
      </c>
      <c r="JK53">
        <v>4357</v>
      </c>
      <c r="JL53">
        <v>337</v>
      </c>
      <c r="JM53">
        <v>254</v>
      </c>
      <c r="JN53">
        <v>1804</v>
      </c>
      <c r="JO53">
        <v>876</v>
      </c>
      <c r="JP53">
        <v>580</v>
      </c>
      <c r="JQ53">
        <v>1746</v>
      </c>
      <c r="JR53">
        <v>3426</v>
      </c>
      <c r="JS53">
        <v>338</v>
      </c>
      <c r="JT53">
        <v>79</v>
      </c>
      <c r="JU53">
        <v>2970</v>
      </c>
      <c r="JV53">
        <v>262</v>
      </c>
      <c r="JW53" s="28"/>
      <c r="JX53" s="28"/>
      <c r="JY53" s="28"/>
      <c r="JZ53" s="28"/>
      <c r="KA53" s="28">
        <v>5390.0000244000003</v>
      </c>
      <c r="KB53">
        <v>21460</v>
      </c>
      <c r="KC53">
        <v>0</v>
      </c>
      <c r="KD53">
        <v>2</v>
      </c>
      <c r="KE53">
        <v>0</v>
      </c>
      <c r="KF53">
        <v>15</v>
      </c>
      <c r="KG53">
        <v>0</v>
      </c>
      <c r="KH53">
        <v>7</v>
      </c>
      <c r="KI53">
        <v>1136</v>
      </c>
      <c r="KJ53">
        <v>2289</v>
      </c>
      <c r="KK53">
        <v>19997</v>
      </c>
      <c r="KL53">
        <v>1448</v>
      </c>
      <c r="KM53">
        <v>1146</v>
      </c>
      <c r="KT53">
        <v>3866</v>
      </c>
      <c r="KU53">
        <v>3767</v>
      </c>
      <c r="KV53">
        <v>3339</v>
      </c>
      <c r="KW53">
        <v>278</v>
      </c>
      <c r="KX53">
        <v>65</v>
      </c>
      <c r="KZ53">
        <v>3274</v>
      </c>
      <c r="LA53">
        <v>265</v>
      </c>
      <c r="LB53">
        <v>64</v>
      </c>
      <c r="LD53">
        <v>2140</v>
      </c>
      <c r="LE53">
        <v>2151</v>
      </c>
      <c r="LF53">
        <v>819</v>
      </c>
      <c r="LG53">
        <v>1431</v>
      </c>
      <c r="LH53">
        <v>14223</v>
      </c>
      <c r="LI53">
        <v>25</v>
      </c>
      <c r="LJ53">
        <v>1113</v>
      </c>
      <c r="LK53">
        <v>346</v>
      </c>
      <c r="LL53">
        <v>2017</v>
      </c>
      <c r="LM53">
        <v>1</v>
      </c>
      <c r="LN53">
        <v>952</v>
      </c>
      <c r="LO53">
        <v>290</v>
      </c>
      <c r="LP53">
        <v>13</v>
      </c>
      <c r="LQ53">
        <v>1014</v>
      </c>
      <c r="LR53">
        <v>331</v>
      </c>
      <c r="LS53">
        <v>2204</v>
      </c>
      <c r="LT53">
        <v>5</v>
      </c>
      <c r="LU53">
        <v>754</v>
      </c>
      <c r="LV53">
        <v>215</v>
      </c>
      <c r="LW53" s="44"/>
      <c r="LX53" s="44"/>
      <c r="LY53" s="44"/>
      <c r="LZ53">
        <v>5436</v>
      </c>
      <c r="MA53">
        <v>24880</v>
      </c>
      <c r="MB53">
        <v>20606</v>
      </c>
      <c r="MC53">
        <v>13773</v>
      </c>
      <c r="MD53" s="26">
        <v>15.819446999999998</v>
      </c>
      <c r="ME53" s="26">
        <v>10.477713</v>
      </c>
      <c r="MF53" s="26">
        <v>47.598959000000001</v>
      </c>
      <c r="MG53" s="26">
        <v>26.22767</v>
      </c>
      <c r="MH53" s="26">
        <v>8.9771889999999992</v>
      </c>
      <c r="MI53" s="26">
        <v>5.5739510000000001</v>
      </c>
      <c r="MJ53" s="26">
        <v>1.3612949999999999</v>
      </c>
      <c r="MK53" s="26">
        <v>3.8631349999999998</v>
      </c>
      <c r="ML53" s="26">
        <v>0.84620999999999991</v>
      </c>
      <c r="MM53" s="26">
        <v>83.885210000000001</v>
      </c>
      <c r="MN53" s="26">
        <v>66.813834</v>
      </c>
      <c r="MO53" s="26">
        <v>0.69886199999999998</v>
      </c>
      <c r="MP53" t="s">
        <v>1029</v>
      </c>
      <c r="MQ53">
        <v>510</v>
      </c>
      <c r="MR53">
        <v>46</v>
      </c>
    </row>
    <row r="54" spans="1:356">
      <c r="A54" t="s">
        <v>133</v>
      </c>
      <c r="B54" t="s">
        <v>134</v>
      </c>
      <c r="C54">
        <v>19956</v>
      </c>
      <c r="D54">
        <v>21084</v>
      </c>
      <c r="E54">
        <v>21807</v>
      </c>
      <c r="F54">
        <f t="shared" si="2"/>
        <v>723</v>
      </c>
      <c r="G54" s="26">
        <f t="shared" si="3"/>
        <v>3.4291405805350053</v>
      </c>
      <c r="H54">
        <v>10772</v>
      </c>
      <c r="I54">
        <v>11035</v>
      </c>
      <c r="J54">
        <v>7809</v>
      </c>
      <c r="K54">
        <v>13998</v>
      </c>
      <c r="L54">
        <v>1054</v>
      </c>
      <c r="M54">
        <v>1045</v>
      </c>
      <c r="N54">
        <v>1059</v>
      </c>
      <c r="O54">
        <v>901</v>
      </c>
      <c r="P54">
        <v>744</v>
      </c>
      <c r="Q54">
        <v>708</v>
      </c>
      <c r="R54">
        <v>755</v>
      </c>
      <c r="S54">
        <v>691</v>
      </c>
      <c r="T54">
        <v>687</v>
      </c>
      <c r="U54">
        <v>590</v>
      </c>
      <c r="V54">
        <v>582</v>
      </c>
      <c r="W54">
        <v>523</v>
      </c>
      <c r="X54">
        <v>424</v>
      </c>
      <c r="Y54">
        <v>1009</v>
      </c>
      <c r="Z54">
        <v>0</v>
      </c>
      <c r="AA54">
        <v>1053</v>
      </c>
      <c r="AB54">
        <v>1049</v>
      </c>
      <c r="AC54">
        <v>1011</v>
      </c>
      <c r="AD54">
        <v>920</v>
      </c>
      <c r="AE54">
        <v>762</v>
      </c>
      <c r="AF54">
        <v>792</v>
      </c>
      <c r="AG54">
        <v>803</v>
      </c>
      <c r="AH54">
        <v>794</v>
      </c>
      <c r="AI54">
        <v>773</v>
      </c>
      <c r="AJ54">
        <v>639</v>
      </c>
      <c r="AK54">
        <v>576</v>
      </c>
      <c r="AL54">
        <v>507</v>
      </c>
      <c r="AM54">
        <v>411</v>
      </c>
      <c r="AN54">
        <v>945</v>
      </c>
      <c r="AO54">
        <v>0</v>
      </c>
      <c r="AP54">
        <v>19172</v>
      </c>
      <c r="AQ54">
        <v>2606</v>
      </c>
      <c r="AR54">
        <v>11</v>
      </c>
      <c r="AS54">
        <v>8</v>
      </c>
      <c r="AT54">
        <v>10</v>
      </c>
      <c r="AU54">
        <v>1231</v>
      </c>
      <c r="AV54">
        <v>616</v>
      </c>
      <c r="AW54">
        <v>615</v>
      </c>
      <c r="AX54">
        <v>851</v>
      </c>
      <c r="AY54">
        <v>1050</v>
      </c>
      <c r="AZ54">
        <v>1029</v>
      </c>
      <c r="BA54">
        <v>21</v>
      </c>
      <c r="BB54">
        <v>37</v>
      </c>
      <c r="BC54">
        <v>36</v>
      </c>
      <c r="BD54">
        <v>70</v>
      </c>
      <c r="BE54">
        <v>65</v>
      </c>
      <c r="BF54">
        <v>62</v>
      </c>
      <c r="BG54">
        <v>68</v>
      </c>
      <c r="BH54">
        <v>66</v>
      </c>
      <c r="BI54">
        <v>67</v>
      </c>
      <c r="BJ54">
        <v>57</v>
      </c>
      <c r="BK54">
        <v>61</v>
      </c>
      <c r="BL54">
        <v>57</v>
      </c>
      <c r="BM54">
        <v>49</v>
      </c>
      <c r="BN54">
        <v>58</v>
      </c>
      <c r="BO54">
        <v>40</v>
      </c>
      <c r="BP54">
        <v>41</v>
      </c>
      <c r="BQ54">
        <v>31</v>
      </c>
      <c r="BR54">
        <v>41</v>
      </c>
      <c r="BS54">
        <v>48</v>
      </c>
      <c r="BT54">
        <v>20</v>
      </c>
      <c r="BU54">
        <v>28</v>
      </c>
      <c r="BV54">
        <v>23</v>
      </c>
      <c r="BW54">
        <v>35</v>
      </c>
      <c r="BX54">
        <v>17</v>
      </c>
      <c r="BY54">
        <v>24</v>
      </c>
      <c r="BZ54">
        <v>15</v>
      </c>
      <c r="CA54">
        <v>22</v>
      </c>
      <c r="CB54">
        <v>52</v>
      </c>
      <c r="CC54">
        <v>41</v>
      </c>
      <c r="CD54">
        <v>615</v>
      </c>
      <c r="CE54">
        <v>610</v>
      </c>
      <c r="CF54">
        <v>1</v>
      </c>
      <c r="CG54">
        <v>5</v>
      </c>
      <c r="CH54">
        <v>4347</v>
      </c>
      <c r="CI54">
        <v>1747</v>
      </c>
      <c r="CJ54">
        <v>16071</v>
      </c>
      <c r="CK54">
        <v>5693</v>
      </c>
      <c r="CL54">
        <v>740</v>
      </c>
      <c r="CM54">
        <v>1178</v>
      </c>
      <c r="CN54">
        <v>1209</v>
      </c>
      <c r="CO54">
        <v>1331</v>
      </c>
      <c r="CP54">
        <v>842</v>
      </c>
      <c r="CQ54">
        <v>794</v>
      </c>
      <c r="CR54">
        <v>4010</v>
      </c>
      <c r="CS54">
        <v>8390</v>
      </c>
      <c r="CT54">
        <v>1802</v>
      </c>
      <c r="CU54">
        <v>474</v>
      </c>
      <c r="CV54">
        <v>275</v>
      </c>
      <c r="CW54">
        <v>636</v>
      </c>
      <c r="CX54">
        <v>83</v>
      </c>
      <c r="CY54">
        <v>3733</v>
      </c>
      <c r="CZ54">
        <v>1563</v>
      </c>
      <c r="DA54">
        <v>44</v>
      </c>
      <c r="DB54">
        <v>740</v>
      </c>
      <c r="DC54">
        <v>14</v>
      </c>
      <c r="DD54">
        <v>827</v>
      </c>
      <c r="DE54">
        <v>2293</v>
      </c>
      <c r="DF54">
        <v>2203</v>
      </c>
      <c r="DG54">
        <v>8675</v>
      </c>
      <c r="DH54">
        <v>0</v>
      </c>
      <c r="DI54">
        <v>7809</v>
      </c>
      <c r="DJ54">
        <v>0</v>
      </c>
      <c r="DK54">
        <v>0</v>
      </c>
      <c r="DL54">
        <v>0</v>
      </c>
      <c r="DM54">
        <v>15</v>
      </c>
      <c r="DN54">
        <v>14</v>
      </c>
      <c r="DO54">
        <v>7</v>
      </c>
      <c r="DP54">
        <v>11</v>
      </c>
      <c r="DQ54">
        <v>0</v>
      </c>
      <c r="DR54">
        <v>1</v>
      </c>
      <c r="DS54">
        <v>0</v>
      </c>
      <c r="DT54">
        <v>0</v>
      </c>
      <c r="DU54">
        <v>0</v>
      </c>
      <c r="DV54">
        <v>728</v>
      </c>
      <c r="DW54">
        <v>836</v>
      </c>
      <c r="DX54">
        <v>1085</v>
      </c>
      <c r="DY54">
        <v>1148</v>
      </c>
      <c r="DZ54">
        <v>508</v>
      </c>
      <c r="EA54">
        <v>405</v>
      </c>
      <c r="EB54">
        <v>320</v>
      </c>
      <c r="EC54">
        <v>226</v>
      </c>
      <c r="ED54">
        <v>220</v>
      </c>
      <c r="EE54">
        <v>243</v>
      </c>
      <c r="EF54">
        <v>354</v>
      </c>
      <c r="EG54">
        <v>384</v>
      </c>
      <c r="EH54">
        <v>162</v>
      </c>
      <c r="EI54">
        <v>122</v>
      </c>
      <c r="EJ54">
        <v>978</v>
      </c>
      <c r="EK54">
        <v>1379</v>
      </c>
      <c r="EL54">
        <v>569</v>
      </c>
      <c r="EM54">
        <v>294</v>
      </c>
      <c r="EN54">
        <v>256</v>
      </c>
      <c r="EO54">
        <v>440</v>
      </c>
      <c r="EP54">
        <v>181</v>
      </c>
      <c r="EQ54">
        <v>6401</v>
      </c>
      <c r="ER54">
        <v>6186</v>
      </c>
      <c r="ES54">
        <v>215</v>
      </c>
      <c r="ET54">
        <v>1800</v>
      </c>
      <c r="EU54">
        <v>3177</v>
      </c>
      <c r="EV54">
        <v>3123</v>
      </c>
      <c r="EW54">
        <v>54</v>
      </c>
      <c r="EX54">
        <v>5345</v>
      </c>
      <c r="EY54" s="26">
        <v>42.058357999999998</v>
      </c>
      <c r="EZ54" s="26">
        <v>14.201524000000001</v>
      </c>
      <c r="FA54" s="26">
        <v>12.764122</v>
      </c>
      <c r="FB54" s="26">
        <v>30.171050999999999</v>
      </c>
      <c r="FC54" s="26">
        <v>0.80494500000000002</v>
      </c>
      <c r="FD54">
        <v>966</v>
      </c>
      <c r="FE54">
        <v>2701</v>
      </c>
      <c r="FF54">
        <v>385</v>
      </c>
      <c r="FG54">
        <v>2119</v>
      </c>
      <c r="FH54">
        <v>6</v>
      </c>
      <c r="FI54">
        <v>2017</v>
      </c>
      <c r="FJ54">
        <v>1379</v>
      </c>
      <c r="FK54" s="26" t="s">
        <v>359</v>
      </c>
      <c r="FL54" s="26" t="s">
        <v>359</v>
      </c>
      <c r="FM54" s="26" t="s">
        <v>359</v>
      </c>
      <c r="FN54" s="26" t="s">
        <v>359</v>
      </c>
      <c r="FO54" s="28">
        <v>6465</v>
      </c>
      <c r="FP54" s="28">
        <v>4306</v>
      </c>
      <c r="FQ54">
        <v>897</v>
      </c>
      <c r="FR54">
        <v>209</v>
      </c>
      <c r="FS54">
        <v>34</v>
      </c>
      <c r="FT54">
        <v>99</v>
      </c>
      <c r="FU54">
        <v>4961</v>
      </c>
      <c r="FV54">
        <v>26</v>
      </c>
      <c r="FW54">
        <v>61</v>
      </c>
      <c r="FX54">
        <v>1</v>
      </c>
      <c r="FY54">
        <v>7011</v>
      </c>
      <c r="FZ54">
        <v>4019</v>
      </c>
      <c r="GA54">
        <v>888</v>
      </c>
      <c r="GB54">
        <v>243</v>
      </c>
      <c r="GC54">
        <v>36</v>
      </c>
      <c r="GD54">
        <v>69</v>
      </c>
      <c r="GE54">
        <v>5512</v>
      </c>
      <c r="GF54">
        <v>31</v>
      </c>
      <c r="GG54">
        <v>69</v>
      </c>
      <c r="GH54">
        <v>5</v>
      </c>
      <c r="GI54">
        <v>650</v>
      </c>
      <c r="GJ54">
        <v>703</v>
      </c>
      <c r="GK54">
        <v>689</v>
      </c>
      <c r="GL54">
        <v>579</v>
      </c>
      <c r="GM54">
        <v>406</v>
      </c>
      <c r="GN54">
        <v>394</v>
      </c>
      <c r="GO54">
        <v>447</v>
      </c>
      <c r="GP54">
        <v>399</v>
      </c>
      <c r="GQ54">
        <v>394</v>
      </c>
      <c r="GR54">
        <v>332</v>
      </c>
      <c r="GS54">
        <v>306</v>
      </c>
      <c r="GT54">
        <v>316</v>
      </c>
      <c r="GU54">
        <v>248</v>
      </c>
      <c r="GV54">
        <v>211</v>
      </c>
      <c r="GW54">
        <v>129</v>
      </c>
      <c r="GX54">
        <v>117</v>
      </c>
      <c r="GY54">
        <v>78</v>
      </c>
      <c r="GZ54">
        <v>67</v>
      </c>
      <c r="HA54">
        <v>622</v>
      </c>
      <c r="HB54">
        <v>671</v>
      </c>
      <c r="HC54">
        <v>668</v>
      </c>
      <c r="HD54">
        <v>598</v>
      </c>
      <c r="HE54">
        <v>470</v>
      </c>
      <c r="HF54">
        <v>505</v>
      </c>
      <c r="HG54">
        <v>514</v>
      </c>
      <c r="HH54">
        <v>518</v>
      </c>
      <c r="HI54">
        <v>483</v>
      </c>
      <c r="HJ54">
        <v>404</v>
      </c>
      <c r="HK54">
        <v>371</v>
      </c>
      <c r="HL54">
        <v>323</v>
      </c>
      <c r="HM54">
        <v>250</v>
      </c>
      <c r="HN54">
        <v>220</v>
      </c>
      <c r="HO54">
        <v>137</v>
      </c>
      <c r="HP54">
        <v>105</v>
      </c>
      <c r="HQ54">
        <v>80</v>
      </c>
      <c r="HR54">
        <v>72</v>
      </c>
      <c r="HS54">
        <v>4625</v>
      </c>
      <c r="HT54">
        <v>0</v>
      </c>
      <c r="HU54">
        <v>21</v>
      </c>
      <c r="HV54">
        <v>0</v>
      </c>
      <c r="HW54">
        <v>5</v>
      </c>
      <c r="HX54">
        <v>0</v>
      </c>
      <c r="HY54">
        <v>0</v>
      </c>
      <c r="HZ54">
        <v>1</v>
      </c>
      <c r="IA54">
        <v>737</v>
      </c>
      <c r="IB54">
        <v>1177</v>
      </c>
      <c r="IC54">
        <v>1209</v>
      </c>
      <c r="ID54">
        <v>1331</v>
      </c>
      <c r="IE54">
        <v>841</v>
      </c>
      <c r="IF54">
        <v>404</v>
      </c>
      <c r="IG54">
        <v>212</v>
      </c>
      <c r="IH54">
        <v>87</v>
      </c>
      <c r="II54">
        <v>91</v>
      </c>
      <c r="IJ54">
        <v>697</v>
      </c>
      <c r="IK54">
        <v>1090</v>
      </c>
      <c r="IL54">
        <v>1757</v>
      </c>
      <c r="IM54">
        <v>1554</v>
      </c>
      <c r="IN54">
        <v>746</v>
      </c>
      <c r="IO54">
        <v>189</v>
      </c>
      <c r="IP54">
        <v>32</v>
      </c>
      <c r="IQ54">
        <v>14</v>
      </c>
      <c r="IR54">
        <v>9</v>
      </c>
      <c r="IS54">
        <v>2691</v>
      </c>
      <c r="IT54">
        <v>2476</v>
      </c>
      <c r="IU54">
        <v>754</v>
      </c>
      <c r="IV54">
        <v>145</v>
      </c>
      <c r="IW54">
        <v>22</v>
      </c>
      <c r="IX54">
        <v>2478</v>
      </c>
      <c r="IY54">
        <v>344</v>
      </c>
      <c r="IZ54">
        <v>3</v>
      </c>
      <c r="JA54">
        <v>33</v>
      </c>
      <c r="JB54">
        <v>6</v>
      </c>
      <c r="JC54">
        <v>28</v>
      </c>
      <c r="JD54">
        <v>5934</v>
      </c>
      <c r="JE54">
        <v>155</v>
      </c>
      <c r="JF54">
        <v>0</v>
      </c>
      <c r="JH54" s="28">
        <v>4934.1542544250451</v>
      </c>
      <c r="JI54" s="28">
        <v>262.30204005535614</v>
      </c>
      <c r="JJ54">
        <v>387</v>
      </c>
      <c r="JK54">
        <v>4932</v>
      </c>
      <c r="JL54">
        <v>769</v>
      </c>
      <c r="JM54">
        <v>1</v>
      </c>
      <c r="JN54">
        <v>5117</v>
      </c>
      <c r="JO54">
        <v>4068</v>
      </c>
      <c r="JP54">
        <v>1395</v>
      </c>
      <c r="JQ54">
        <v>2762</v>
      </c>
      <c r="JR54">
        <v>5086</v>
      </c>
      <c r="JS54">
        <v>698</v>
      </c>
      <c r="JT54">
        <v>436</v>
      </c>
      <c r="JU54">
        <v>4739</v>
      </c>
      <c r="JV54">
        <v>857</v>
      </c>
      <c r="JW54" s="28"/>
      <c r="JX54" s="28"/>
      <c r="JY54" s="28"/>
      <c r="JZ54" s="28"/>
      <c r="KA54" s="28">
        <v>6048.0000229500001</v>
      </c>
      <c r="KB54">
        <v>16631</v>
      </c>
      <c r="KC54">
        <v>0</v>
      </c>
      <c r="KD54">
        <v>60</v>
      </c>
      <c r="KE54">
        <v>0</v>
      </c>
      <c r="KF54">
        <v>10</v>
      </c>
      <c r="KG54">
        <v>0</v>
      </c>
      <c r="KH54">
        <v>0</v>
      </c>
      <c r="KI54">
        <v>3</v>
      </c>
      <c r="KJ54">
        <v>1372</v>
      </c>
      <c r="KK54">
        <v>17738</v>
      </c>
      <c r="KL54">
        <v>2643</v>
      </c>
      <c r="KM54">
        <v>1</v>
      </c>
      <c r="KT54">
        <v>2953</v>
      </c>
      <c r="KU54">
        <v>2950</v>
      </c>
      <c r="KV54">
        <v>2356</v>
      </c>
      <c r="KW54">
        <v>380</v>
      </c>
      <c r="KX54">
        <v>145</v>
      </c>
      <c r="KZ54">
        <v>2313</v>
      </c>
      <c r="LA54">
        <v>378</v>
      </c>
      <c r="LB54">
        <v>175</v>
      </c>
      <c r="LD54">
        <v>1677</v>
      </c>
      <c r="LE54">
        <v>1627</v>
      </c>
      <c r="LF54">
        <v>692</v>
      </c>
      <c r="LG54">
        <v>911</v>
      </c>
      <c r="LH54">
        <v>15536</v>
      </c>
      <c r="LI54">
        <v>24</v>
      </c>
      <c r="LJ54">
        <v>1119</v>
      </c>
      <c r="LK54">
        <v>265</v>
      </c>
      <c r="LL54">
        <v>1565</v>
      </c>
      <c r="LM54">
        <v>1</v>
      </c>
      <c r="LN54">
        <v>1220</v>
      </c>
      <c r="LO54">
        <v>597</v>
      </c>
      <c r="LP54">
        <v>24</v>
      </c>
      <c r="LQ54">
        <v>1176</v>
      </c>
      <c r="LR54">
        <v>209</v>
      </c>
      <c r="LS54">
        <v>1926</v>
      </c>
      <c r="LT54">
        <v>9</v>
      </c>
      <c r="LU54">
        <v>1207</v>
      </c>
      <c r="LV54">
        <v>521</v>
      </c>
      <c r="LW54" s="44"/>
      <c r="LX54" s="44"/>
      <c r="LY54" s="44"/>
      <c r="LZ54">
        <v>6089</v>
      </c>
      <c r="MA54">
        <v>21754</v>
      </c>
      <c r="MB54">
        <v>21222</v>
      </c>
      <c r="MC54">
        <v>1089</v>
      </c>
      <c r="MD54" s="26">
        <v>10.317971</v>
      </c>
      <c r="ME54" s="26">
        <v>6.9717359999999999</v>
      </c>
      <c r="MF54" s="26">
        <v>44.342172999999995</v>
      </c>
      <c r="MG54" s="26">
        <v>38.175815</v>
      </c>
      <c r="MH54" s="26">
        <v>6.3557229999999993</v>
      </c>
      <c r="MI54" s="26">
        <v>2.496305</v>
      </c>
      <c r="MJ54" s="26">
        <v>12.859254</v>
      </c>
      <c r="MK54" s="26">
        <v>2.5455739999999998</v>
      </c>
      <c r="ML54" s="26">
        <v>0.67334499999999997</v>
      </c>
      <c r="MM54" s="26">
        <v>33.190999999999995</v>
      </c>
      <c r="MN54" s="26">
        <v>15.963211999999999</v>
      </c>
      <c r="MO54" s="26">
        <v>-0.32890900000000001</v>
      </c>
      <c r="MP54" t="s">
        <v>1027</v>
      </c>
      <c r="MQ54">
        <v>1354</v>
      </c>
      <c r="MR54">
        <v>118</v>
      </c>
    </row>
    <row r="55" spans="1:356">
      <c r="A55" t="s">
        <v>77</v>
      </c>
      <c r="B55" t="s">
        <v>78</v>
      </c>
      <c r="C55">
        <v>39770</v>
      </c>
      <c r="D55">
        <v>44082</v>
      </c>
      <c r="E55">
        <v>49920</v>
      </c>
      <c r="F55">
        <f t="shared" si="2"/>
        <v>5838</v>
      </c>
      <c r="G55" s="26">
        <f t="shared" si="3"/>
        <v>13.243500748604873</v>
      </c>
      <c r="H55">
        <v>25133</v>
      </c>
      <c r="I55">
        <v>24787</v>
      </c>
      <c r="J55">
        <v>17300</v>
      </c>
      <c r="K55">
        <v>32620</v>
      </c>
      <c r="L55">
        <v>2546</v>
      </c>
      <c r="M55">
        <v>2864</v>
      </c>
      <c r="N55">
        <v>2684</v>
      </c>
      <c r="O55">
        <v>2265</v>
      </c>
      <c r="P55">
        <v>2008</v>
      </c>
      <c r="Q55">
        <v>1699</v>
      </c>
      <c r="R55">
        <v>1674</v>
      </c>
      <c r="S55">
        <v>1615</v>
      </c>
      <c r="T55">
        <v>1515</v>
      </c>
      <c r="U55">
        <v>1343</v>
      </c>
      <c r="V55">
        <v>1197</v>
      </c>
      <c r="W55">
        <v>995</v>
      </c>
      <c r="X55">
        <v>848</v>
      </c>
      <c r="Y55">
        <v>1875</v>
      </c>
      <c r="Z55">
        <v>5</v>
      </c>
      <c r="AA55">
        <v>2344</v>
      </c>
      <c r="AB55">
        <v>2730</v>
      </c>
      <c r="AC55">
        <v>2510</v>
      </c>
      <c r="AD55">
        <v>2236</v>
      </c>
      <c r="AE55">
        <v>2096</v>
      </c>
      <c r="AF55">
        <v>1961</v>
      </c>
      <c r="AG55">
        <v>1862</v>
      </c>
      <c r="AH55">
        <v>1743</v>
      </c>
      <c r="AI55">
        <v>1550</v>
      </c>
      <c r="AJ55">
        <v>1345</v>
      </c>
      <c r="AK55">
        <v>1133</v>
      </c>
      <c r="AL55">
        <v>881</v>
      </c>
      <c r="AM55">
        <v>701</v>
      </c>
      <c r="AN55">
        <v>1690</v>
      </c>
      <c r="AO55">
        <v>5</v>
      </c>
      <c r="AP55">
        <v>49129</v>
      </c>
      <c r="AQ55">
        <v>450</v>
      </c>
      <c r="AR55">
        <v>74</v>
      </c>
      <c r="AS55">
        <v>250</v>
      </c>
      <c r="AT55">
        <v>17</v>
      </c>
      <c r="AU55">
        <v>3561</v>
      </c>
      <c r="AV55">
        <v>1832</v>
      </c>
      <c r="AW55">
        <v>1729</v>
      </c>
      <c r="AX55">
        <v>2085</v>
      </c>
      <c r="AY55">
        <v>2765</v>
      </c>
      <c r="AZ55">
        <v>2549</v>
      </c>
      <c r="BA55">
        <v>216</v>
      </c>
      <c r="BB55">
        <v>88</v>
      </c>
      <c r="BC55">
        <v>69</v>
      </c>
      <c r="BD55">
        <v>273</v>
      </c>
      <c r="BE55">
        <v>244</v>
      </c>
      <c r="BF55">
        <v>241</v>
      </c>
      <c r="BG55">
        <v>237</v>
      </c>
      <c r="BH55">
        <v>189</v>
      </c>
      <c r="BI55">
        <v>231</v>
      </c>
      <c r="BJ55">
        <v>198</v>
      </c>
      <c r="BK55">
        <v>167</v>
      </c>
      <c r="BL55">
        <v>138</v>
      </c>
      <c r="BM55">
        <v>169</v>
      </c>
      <c r="BN55">
        <v>127</v>
      </c>
      <c r="BO55">
        <v>144</v>
      </c>
      <c r="BP55">
        <v>113</v>
      </c>
      <c r="BQ55">
        <v>99</v>
      </c>
      <c r="BR55">
        <v>99</v>
      </c>
      <c r="BS55">
        <v>84</v>
      </c>
      <c r="BT55">
        <v>78</v>
      </c>
      <c r="BU55">
        <v>83</v>
      </c>
      <c r="BV55">
        <v>73</v>
      </c>
      <c r="BW55">
        <v>60</v>
      </c>
      <c r="BX55">
        <v>52</v>
      </c>
      <c r="BY55">
        <v>35</v>
      </c>
      <c r="BZ55">
        <v>49</v>
      </c>
      <c r="CA55">
        <v>37</v>
      </c>
      <c r="CB55">
        <v>114</v>
      </c>
      <c r="CC55">
        <v>70</v>
      </c>
      <c r="CD55">
        <v>1750</v>
      </c>
      <c r="CE55">
        <v>1592</v>
      </c>
      <c r="CF55">
        <v>81</v>
      </c>
      <c r="CG55">
        <v>132</v>
      </c>
      <c r="CH55">
        <v>9354</v>
      </c>
      <c r="CI55">
        <v>2897</v>
      </c>
      <c r="CJ55">
        <v>39651</v>
      </c>
      <c r="CK55">
        <v>10218</v>
      </c>
      <c r="CL55">
        <v>1115</v>
      </c>
      <c r="CM55">
        <v>1928</v>
      </c>
      <c r="CN55">
        <v>2273</v>
      </c>
      <c r="CO55">
        <v>2546</v>
      </c>
      <c r="CP55">
        <v>1867</v>
      </c>
      <c r="CQ55">
        <v>2522</v>
      </c>
      <c r="CR55">
        <v>9019</v>
      </c>
      <c r="CS55">
        <v>21164</v>
      </c>
      <c r="CT55">
        <v>4163</v>
      </c>
      <c r="CU55">
        <v>1534</v>
      </c>
      <c r="CV55">
        <v>406</v>
      </c>
      <c r="CW55">
        <v>1224</v>
      </c>
      <c r="CX55">
        <v>98</v>
      </c>
      <c r="CY55">
        <v>7843</v>
      </c>
      <c r="CZ55">
        <v>3214</v>
      </c>
      <c r="DA55">
        <v>55</v>
      </c>
      <c r="DB55">
        <v>1115</v>
      </c>
      <c r="DC55">
        <v>20</v>
      </c>
      <c r="DD55">
        <v>5477</v>
      </c>
      <c r="DE55">
        <v>2165</v>
      </c>
      <c r="DF55">
        <v>3187</v>
      </c>
      <c r="DG55">
        <v>21791</v>
      </c>
      <c r="DH55">
        <v>8911</v>
      </c>
      <c r="DI55">
        <v>8389</v>
      </c>
      <c r="DJ55">
        <v>0</v>
      </c>
      <c r="DK55">
        <v>0</v>
      </c>
      <c r="DL55">
        <v>0</v>
      </c>
      <c r="DM55">
        <v>492</v>
      </c>
      <c r="DN55">
        <v>14</v>
      </c>
      <c r="DO55">
        <v>10</v>
      </c>
      <c r="DP55">
        <v>18</v>
      </c>
      <c r="DQ55">
        <v>3</v>
      </c>
      <c r="DR55">
        <v>1</v>
      </c>
      <c r="DS55">
        <v>0</v>
      </c>
      <c r="DT55">
        <v>0</v>
      </c>
      <c r="DU55">
        <v>0</v>
      </c>
      <c r="DV55">
        <v>1449</v>
      </c>
      <c r="DW55">
        <v>1563</v>
      </c>
      <c r="DX55">
        <v>1828</v>
      </c>
      <c r="DY55">
        <v>1988</v>
      </c>
      <c r="DZ55">
        <v>911</v>
      </c>
      <c r="EA55">
        <v>741</v>
      </c>
      <c r="EB55">
        <v>537</v>
      </c>
      <c r="EC55">
        <v>408</v>
      </c>
      <c r="ED55">
        <v>410</v>
      </c>
      <c r="EE55">
        <v>418</v>
      </c>
      <c r="EF55">
        <v>664</v>
      </c>
      <c r="EG55">
        <v>701</v>
      </c>
      <c r="EH55">
        <v>322</v>
      </c>
      <c r="EI55">
        <v>229</v>
      </c>
      <c r="EJ55">
        <v>2256</v>
      </c>
      <c r="EK55">
        <v>2943</v>
      </c>
      <c r="EL55">
        <v>1283</v>
      </c>
      <c r="EM55">
        <v>706</v>
      </c>
      <c r="EN55">
        <v>636</v>
      </c>
      <c r="EO55">
        <v>1035</v>
      </c>
      <c r="EP55">
        <v>418</v>
      </c>
      <c r="EQ55">
        <v>15407</v>
      </c>
      <c r="ER55">
        <v>15148</v>
      </c>
      <c r="ES55">
        <v>259</v>
      </c>
      <c r="ET55">
        <v>3032</v>
      </c>
      <c r="EU55">
        <v>6924</v>
      </c>
      <c r="EV55">
        <v>6888</v>
      </c>
      <c r="EW55">
        <v>36</v>
      </c>
      <c r="EX55">
        <v>11717</v>
      </c>
      <c r="EY55" s="26">
        <v>59.585732999999998</v>
      </c>
      <c r="EZ55" s="26">
        <v>9.7573749999999997</v>
      </c>
      <c r="FA55" s="26">
        <v>10.932682</v>
      </c>
      <c r="FB55" s="26">
        <v>19.683482000000001</v>
      </c>
      <c r="FC55" s="26">
        <v>4.0728E-2</v>
      </c>
      <c r="FD55">
        <v>3565</v>
      </c>
      <c r="FE55">
        <v>7916</v>
      </c>
      <c r="FF55">
        <v>942</v>
      </c>
      <c r="FG55">
        <v>4962</v>
      </c>
      <c r="FH55">
        <v>27</v>
      </c>
      <c r="FI55">
        <v>3266</v>
      </c>
      <c r="FJ55">
        <v>1641</v>
      </c>
      <c r="FK55" s="26" t="s">
        <v>359</v>
      </c>
      <c r="FL55" s="26" t="s">
        <v>359</v>
      </c>
      <c r="FM55" s="26" t="s">
        <v>359</v>
      </c>
      <c r="FN55" s="26" t="s">
        <v>359</v>
      </c>
      <c r="FO55" s="28">
        <v>19103</v>
      </c>
      <c r="FP55" s="28">
        <v>6020</v>
      </c>
      <c r="FQ55">
        <v>340</v>
      </c>
      <c r="FR55">
        <v>295</v>
      </c>
      <c r="FS55">
        <v>148</v>
      </c>
      <c r="FT55">
        <v>15</v>
      </c>
      <c r="FU55">
        <v>17605</v>
      </c>
      <c r="FV55">
        <v>23</v>
      </c>
      <c r="FW55">
        <v>18</v>
      </c>
      <c r="FX55">
        <v>10</v>
      </c>
      <c r="FY55">
        <v>19762</v>
      </c>
      <c r="FZ55">
        <v>5019</v>
      </c>
      <c r="GA55">
        <v>336</v>
      </c>
      <c r="GB55">
        <v>316</v>
      </c>
      <c r="GC55">
        <v>170</v>
      </c>
      <c r="GD55">
        <v>14</v>
      </c>
      <c r="GE55">
        <v>18215</v>
      </c>
      <c r="GF55">
        <v>25</v>
      </c>
      <c r="GG55">
        <v>13</v>
      </c>
      <c r="GH55">
        <v>6</v>
      </c>
      <c r="GI55">
        <v>1764</v>
      </c>
      <c r="GJ55">
        <v>2299</v>
      </c>
      <c r="GK55">
        <v>2189</v>
      </c>
      <c r="GL55">
        <v>1745</v>
      </c>
      <c r="GM55">
        <v>1443</v>
      </c>
      <c r="GN55">
        <v>1262</v>
      </c>
      <c r="GO55">
        <v>1297</v>
      </c>
      <c r="GP55">
        <v>1243</v>
      </c>
      <c r="GQ55">
        <v>1149</v>
      </c>
      <c r="GR55">
        <v>1011</v>
      </c>
      <c r="GS55">
        <v>914</v>
      </c>
      <c r="GT55">
        <v>713</v>
      </c>
      <c r="GU55">
        <v>629</v>
      </c>
      <c r="GV55">
        <v>468</v>
      </c>
      <c r="GW55">
        <v>345</v>
      </c>
      <c r="GX55">
        <v>308</v>
      </c>
      <c r="GY55">
        <v>177</v>
      </c>
      <c r="GZ55">
        <v>147</v>
      </c>
      <c r="HA55">
        <v>1621</v>
      </c>
      <c r="HB55">
        <v>2242</v>
      </c>
      <c r="HC55">
        <v>2097</v>
      </c>
      <c r="HD55">
        <v>1706</v>
      </c>
      <c r="HE55">
        <v>1641</v>
      </c>
      <c r="HF55">
        <v>1610</v>
      </c>
      <c r="HG55">
        <v>1563</v>
      </c>
      <c r="HH55">
        <v>1424</v>
      </c>
      <c r="HI55">
        <v>1255</v>
      </c>
      <c r="HJ55">
        <v>1080</v>
      </c>
      <c r="HK55">
        <v>920</v>
      </c>
      <c r="HL55">
        <v>705</v>
      </c>
      <c r="HM55">
        <v>562</v>
      </c>
      <c r="HN55">
        <v>459</v>
      </c>
      <c r="HO55">
        <v>280</v>
      </c>
      <c r="HP55">
        <v>286</v>
      </c>
      <c r="HQ55">
        <v>165</v>
      </c>
      <c r="HR55">
        <v>146</v>
      </c>
      <c r="HS55">
        <v>10944</v>
      </c>
      <c r="HT55">
        <v>0</v>
      </c>
      <c r="HU55">
        <v>43</v>
      </c>
      <c r="HV55">
        <v>0</v>
      </c>
      <c r="HW55">
        <v>15</v>
      </c>
      <c r="HX55">
        <v>0</v>
      </c>
      <c r="HY55">
        <v>22</v>
      </c>
      <c r="HZ55">
        <v>3</v>
      </c>
      <c r="IA55">
        <v>1107</v>
      </c>
      <c r="IB55">
        <v>1921</v>
      </c>
      <c r="IC55">
        <v>2268</v>
      </c>
      <c r="ID55">
        <v>2542</v>
      </c>
      <c r="IE55">
        <v>1862</v>
      </c>
      <c r="IF55">
        <v>1097</v>
      </c>
      <c r="IG55">
        <v>585</v>
      </c>
      <c r="IH55">
        <v>336</v>
      </c>
      <c r="II55">
        <v>496</v>
      </c>
      <c r="IJ55">
        <v>2296</v>
      </c>
      <c r="IK55">
        <v>3561</v>
      </c>
      <c r="IL55">
        <v>3209</v>
      </c>
      <c r="IM55">
        <v>1925</v>
      </c>
      <c r="IN55">
        <v>806</v>
      </c>
      <c r="IO55">
        <v>271</v>
      </c>
      <c r="IP55">
        <v>80</v>
      </c>
      <c r="IQ55">
        <v>38</v>
      </c>
      <c r="IR55">
        <v>25</v>
      </c>
      <c r="IS55">
        <v>6030</v>
      </c>
      <c r="IT55">
        <v>4292</v>
      </c>
      <c r="IU55">
        <v>1494</v>
      </c>
      <c r="IV55">
        <v>316</v>
      </c>
      <c r="IW55">
        <v>79</v>
      </c>
      <c r="IX55">
        <v>5138</v>
      </c>
      <c r="IY55">
        <v>3218</v>
      </c>
      <c r="IZ55">
        <v>6</v>
      </c>
      <c r="JA55">
        <v>197</v>
      </c>
      <c r="JB55">
        <v>192</v>
      </c>
      <c r="JC55">
        <v>747</v>
      </c>
      <c r="JD55">
        <v>11552</v>
      </c>
      <c r="JE55">
        <v>659</v>
      </c>
      <c r="JF55">
        <v>3</v>
      </c>
      <c r="JH55" s="28">
        <v>8845.8343647221445</v>
      </c>
      <c r="JI55" s="28">
        <v>1013.9431787500511</v>
      </c>
      <c r="JJ55">
        <v>1363</v>
      </c>
      <c r="JK55">
        <v>10401</v>
      </c>
      <c r="JL55">
        <v>446</v>
      </c>
      <c r="JM55">
        <v>4</v>
      </c>
      <c r="JN55">
        <v>8566</v>
      </c>
      <c r="JO55">
        <v>5870</v>
      </c>
      <c r="JP55">
        <v>2620</v>
      </c>
      <c r="JQ55">
        <v>7409</v>
      </c>
      <c r="JR55">
        <v>9974</v>
      </c>
      <c r="JS55">
        <v>851</v>
      </c>
      <c r="JT55">
        <v>944</v>
      </c>
      <c r="JU55">
        <v>8423</v>
      </c>
      <c r="JV55">
        <v>1098</v>
      </c>
      <c r="JW55" s="28"/>
      <c r="JX55" s="28"/>
      <c r="JY55" s="28"/>
      <c r="JZ55" s="28"/>
      <c r="KA55" s="28">
        <v>11895.999960200001</v>
      </c>
      <c r="KB55">
        <v>44785</v>
      </c>
      <c r="KC55">
        <v>0</v>
      </c>
      <c r="KD55">
        <v>133</v>
      </c>
      <c r="KE55">
        <v>0</v>
      </c>
      <c r="KF55">
        <v>46</v>
      </c>
      <c r="KG55">
        <v>0</v>
      </c>
      <c r="KH55">
        <v>91</v>
      </c>
      <c r="KI55">
        <v>10</v>
      </c>
      <c r="KJ55">
        <v>6379</v>
      </c>
      <c r="KK55">
        <v>41721</v>
      </c>
      <c r="KL55">
        <v>1621</v>
      </c>
      <c r="KM55">
        <v>11</v>
      </c>
      <c r="KT55">
        <v>6888</v>
      </c>
      <c r="KU55">
        <v>6535</v>
      </c>
      <c r="KV55">
        <v>5780</v>
      </c>
      <c r="KW55">
        <v>683</v>
      </c>
      <c r="KX55">
        <v>218</v>
      </c>
      <c r="KZ55">
        <v>5543</v>
      </c>
      <c r="LA55">
        <v>612</v>
      </c>
      <c r="LB55">
        <v>190</v>
      </c>
      <c r="LD55">
        <v>3844</v>
      </c>
      <c r="LE55">
        <v>3670</v>
      </c>
      <c r="LF55">
        <v>2674</v>
      </c>
      <c r="LG55">
        <v>3306</v>
      </c>
      <c r="LH55">
        <v>34232</v>
      </c>
      <c r="LI55">
        <v>38</v>
      </c>
      <c r="LJ55">
        <v>2746</v>
      </c>
      <c r="LK55">
        <v>593</v>
      </c>
      <c r="LL55">
        <v>3481</v>
      </c>
      <c r="LM55">
        <v>18</v>
      </c>
      <c r="LN55">
        <v>2014</v>
      </c>
      <c r="LO55">
        <v>819</v>
      </c>
      <c r="LP55">
        <v>27</v>
      </c>
      <c r="LQ55">
        <v>2835</v>
      </c>
      <c r="LR55">
        <v>565</v>
      </c>
      <c r="LS55">
        <v>4156</v>
      </c>
      <c r="LT55">
        <v>26</v>
      </c>
      <c r="LU55">
        <v>1670</v>
      </c>
      <c r="LV55">
        <v>599</v>
      </c>
      <c r="LW55" s="44"/>
      <c r="LX55" s="44"/>
      <c r="LY55" s="44"/>
      <c r="LZ55">
        <v>12214</v>
      </c>
      <c r="MA55">
        <v>49732</v>
      </c>
      <c r="MB55">
        <v>46405</v>
      </c>
      <c r="MC55">
        <v>3253</v>
      </c>
      <c r="MD55" s="26">
        <v>17.469034999999998</v>
      </c>
      <c r="ME55" s="26">
        <v>11.317062999999999</v>
      </c>
      <c r="MF55" s="26">
        <v>55.947651</v>
      </c>
      <c r="MG55" s="26">
        <v>22.113381</v>
      </c>
      <c r="MH55" s="26">
        <v>11.159324999999999</v>
      </c>
      <c r="MI55" s="26">
        <v>5.6738169999999997</v>
      </c>
      <c r="MJ55" s="26">
        <v>7.8598330000000001</v>
      </c>
      <c r="MK55" s="26">
        <v>5.395448</v>
      </c>
      <c r="ML55" s="26">
        <v>2.6035699999999999</v>
      </c>
      <c r="MM55" s="26">
        <v>51.940396</v>
      </c>
      <c r="MN55" s="26">
        <v>29.867364999999999</v>
      </c>
      <c r="MO55" s="26">
        <v>0.52664199999999994</v>
      </c>
      <c r="MP55" t="s">
        <v>1029</v>
      </c>
      <c r="MQ55">
        <v>594</v>
      </c>
      <c r="MR55">
        <v>60</v>
      </c>
    </row>
    <row r="56" spans="1:356">
      <c r="A56" t="s">
        <v>109</v>
      </c>
      <c r="B56" t="s">
        <v>110</v>
      </c>
      <c r="C56">
        <v>5969</v>
      </c>
      <c r="D56">
        <v>7272</v>
      </c>
      <c r="E56">
        <v>7701</v>
      </c>
      <c r="F56">
        <f t="shared" si="2"/>
        <v>429</v>
      </c>
      <c r="G56" s="26">
        <f t="shared" si="3"/>
        <v>5.899339933993403</v>
      </c>
      <c r="H56">
        <v>3765</v>
      </c>
      <c r="I56">
        <v>3936</v>
      </c>
      <c r="J56">
        <v>0</v>
      </c>
      <c r="K56">
        <v>7701</v>
      </c>
      <c r="L56">
        <v>450</v>
      </c>
      <c r="M56">
        <v>475</v>
      </c>
      <c r="N56">
        <v>493</v>
      </c>
      <c r="O56">
        <v>465</v>
      </c>
      <c r="P56">
        <v>263</v>
      </c>
      <c r="Q56">
        <v>227</v>
      </c>
      <c r="R56">
        <v>230</v>
      </c>
      <c r="S56">
        <v>194</v>
      </c>
      <c r="T56">
        <v>206</v>
      </c>
      <c r="U56">
        <v>149</v>
      </c>
      <c r="V56">
        <v>132</v>
      </c>
      <c r="W56">
        <v>136</v>
      </c>
      <c r="X56">
        <v>85</v>
      </c>
      <c r="Y56">
        <v>260</v>
      </c>
      <c r="Z56">
        <v>0</v>
      </c>
      <c r="AA56">
        <v>451</v>
      </c>
      <c r="AB56">
        <v>474</v>
      </c>
      <c r="AC56">
        <v>483</v>
      </c>
      <c r="AD56">
        <v>387</v>
      </c>
      <c r="AE56">
        <v>323</v>
      </c>
      <c r="AF56">
        <v>297</v>
      </c>
      <c r="AG56">
        <v>265</v>
      </c>
      <c r="AH56">
        <v>233</v>
      </c>
      <c r="AI56">
        <v>221</v>
      </c>
      <c r="AJ56">
        <v>152</v>
      </c>
      <c r="AK56">
        <v>142</v>
      </c>
      <c r="AL56">
        <v>113</v>
      </c>
      <c r="AM56">
        <v>98</v>
      </c>
      <c r="AN56">
        <v>297</v>
      </c>
      <c r="AO56">
        <v>0</v>
      </c>
      <c r="AP56">
        <v>7606</v>
      </c>
      <c r="AQ56">
        <v>71</v>
      </c>
      <c r="AR56">
        <v>18</v>
      </c>
      <c r="AS56">
        <v>6</v>
      </c>
      <c r="AT56">
        <v>0</v>
      </c>
      <c r="AU56">
        <v>39</v>
      </c>
      <c r="AV56">
        <v>19</v>
      </c>
      <c r="AW56">
        <v>20</v>
      </c>
      <c r="AX56">
        <v>87</v>
      </c>
      <c r="AY56">
        <v>79</v>
      </c>
      <c r="AZ56">
        <v>79</v>
      </c>
      <c r="BA56">
        <v>0</v>
      </c>
      <c r="BB56">
        <v>0</v>
      </c>
      <c r="BC56">
        <v>0</v>
      </c>
      <c r="BD56">
        <v>0</v>
      </c>
      <c r="BE56">
        <v>0</v>
      </c>
      <c r="BF56">
        <v>0</v>
      </c>
      <c r="BG56">
        <v>0</v>
      </c>
      <c r="BH56">
        <v>1</v>
      </c>
      <c r="BI56">
        <v>0</v>
      </c>
      <c r="BJ56">
        <v>0</v>
      </c>
      <c r="BK56">
        <v>0</v>
      </c>
      <c r="BL56">
        <v>1</v>
      </c>
      <c r="BM56">
        <v>2</v>
      </c>
      <c r="BN56">
        <v>0</v>
      </c>
      <c r="BO56">
        <v>0</v>
      </c>
      <c r="BP56">
        <v>1</v>
      </c>
      <c r="BQ56">
        <v>1</v>
      </c>
      <c r="BR56">
        <v>0</v>
      </c>
      <c r="BS56">
        <v>2</v>
      </c>
      <c r="BT56">
        <v>1</v>
      </c>
      <c r="BU56">
        <v>0</v>
      </c>
      <c r="BV56">
        <v>2</v>
      </c>
      <c r="BW56">
        <v>0</v>
      </c>
      <c r="BX56">
        <v>1</v>
      </c>
      <c r="BY56">
        <v>0</v>
      </c>
      <c r="BZ56">
        <v>0</v>
      </c>
      <c r="CA56">
        <v>2</v>
      </c>
      <c r="CB56">
        <v>12</v>
      </c>
      <c r="CC56">
        <v>13</v>
      </c>
      <c r="CD56">
        <v>19</v>
      </c>
      <c r="CE56">
        <v>20</v>
      </c>
      <c r="CF56">
        <v>0</v>
      </c>
      <c r="CG56">
        <v>0</v>
      </c>
      <c r="CH56">
        <v>1187</v>
      </c>
      <c r="CI56">
        <v>350</v>
      </c>
      <c r="CJ56">
        <v>6203</v>
      </c>
      <c r="CK56">
        <v>1482</v>
      </c>
      <c r="CL56">
        <v>86</v>
      </c>
      <c r="CM56">
        <v>136</v>
      </c>
      <c r="CN56">
        <v>185</v>
      </c>
      <c r="CO56">
        <v>288</v>
      </c>
      <c r="CP56">
        <v>291</v>
      </c>
      <c r="CQ56">
        <v>551</v>
      </c>
      <c r="CR56">
        <v>1108</v>
      </c>
      <c r="CS56">
        <v>3766</v>
      </c>
      <c r="CT56">
        <v>784</v>
      </c>
      <c r="CU56">
        <v>234</v>
      </c>
      <c r="CV56">
        <v>102</v>
      </c>
      <c r="CW56">
        <v>144</v>
      </c>
      <c r="CX56">
        <v>10</v>
      </c>
      <c r="CY56">
        <v>935</v>
      </c>
      <c r="CZ56">
        <v>511</v>
      </c>
      <c r="DA56">
        <v>3</v>
      </c>
      <c r="DB56">
        <v>86</v>
      </c>
      <c r="DC56">
        <v>2</v>
      </c>
      <c r="DD56">
        <v>1078</v>
      </c>
      <c r="DE56">
        <v>2775</v>
      </c>
      <c r="DF56">
        <v>2346</v>
      </c>
      <c r="DG56">
        <v>1502</v>
      </c>
      <c r="DH56">
        <v>0</v>
      </c>
      <c r="DI56">
        <v>0</v>
      </c>
      <c r="DJ56">
        <v>0</v>
      </c>
      <c r="DK56">
        <v>0</v>
      </c>
      <c r="DL56">
        <v>0</v>
      </c>
      <c r="DM56">
        <v>23</v>
      </c>
      <c r="DN56">
        <v>16</v>
      </c>
      <c r="DO56">
        <v>7</v>
      </c>
      <c r="DP56">
        <v>1</v>
      </c>
      <c r="DQ56">
        <v>0</v>
      </c>
      <c r="DR56">
        <v>0</v>
      </c>
      <c r="DS56">
        <v>0</v>
      </c>
      <c r="DT56">
        <v>0</v>
      </c>
      <c r="DU56">
        <v>0</v>
      </c>
      <c r="DV56">
        <v>113</v>
      </c>
      <c r="DW56">
        <v>148</v>
      </c>
      <c r="DX56">
        <v>195</v>
      </c>
      <c r="DY56">
        <v>208</v>
      </c>
      <c r="DZ56">
        <v>89</v>
      </c>
      <c r="EA56">
        <v>82</v>
      </c>
      <c r="EB56">
        <v>64</v>
      </c>
      <c r="EC56">
        <v>44</v>
      </c>
      <c r="ED56">
        <v>54</v>
      </c>
      <c r="EE56">
        <v>30</v>
      </c>
      <c r="EF56">
        <v>51</v>
      </c>
      <c r="EG56">
        <v>52</v>
      </c>
      <c r="EH56">
        <v>31</v>
      </c>
      <c r="EI56">
        <v>26</v>
      </c>
      <c r="EJ56">
        <v>225</v>
      </c>
      <c r="EK56">
        <v>338</v>
      </c>
      <c r="EL56">
        <v>155</v>
      </c>
      <c r="EM56">
        <v>86</v>
      </c>
      <c r="EN56">
        <v>69</v>
      </c>
      <c r="EO56">
        <v>82</v>
      </c>
      <c r="EP56">
        <v>45</v>
      </c>
      <c r="EQ56">
        <v>1902</v>
      </c>
      <c r="ER56">
        <v>1854</v>
      </c>
      <c r="ES56">
        <v>48</v>
      </c>
      <c r="ET56">
        <v>734</v>
      </c>
      <c r="EU56">
        <v>781</v>
      </c>
      <c r="EV56">
        <v>778</v>
      </c>
      <c r="EW56">
        <v>3</v>
      </c>
      <c r="EX56">
        <v>2036</v>
      </c>
      <c r="EY56" s="26">
        <v>62.860191999999998</v>
      </c>
      <c r="EZ56" s="26">
        <v>8.004268999999999</v>
      </c>
      <c r="FA56" s="26">
        <v>8.697972</v>
      </c>
      <c r="FB56" s="26">
        <v>20.117395999999999</v>
      </c>
      <c r="FC56" s="26">
        <v>0.32017099999999998</v>
      </c>
      <c r="FD56">
        <v>83</v>
      </c>
      <c r="FE56">
        <v>1194</v>
      </c>
      <c r="FF56">
        <v>93</v>
      </c>
      <c r="FG56">
        <v>679</v>
      </c>
      <c r="FH56">
        <v>1</v>
      </c>
      <c r="FI56">
        <v>418</v>
      </c>
      <c r="FJ56">
        <v>215</v>
      </c>
      <c r="FK56" s="26" t="s">
        <v>359</v>
      </c>
      <c r="FL56" s="26" t="s">
        <v>359</v>
      </c>
      <c r="FM56" s="26" t="s">
        <v>359</v>
      </c>
      <c r="FN56" s="26" t="s">
        <v>359</v>
      </c>
      <c r="FO56" s="28">
        <v>3057</v>
      </c>
      <c r="FP56" s="28">
        <v>708</v>
      </c>
      <c r="FQ56">
        <v>83</v>
      </c>
      <c r="FR56">
        <v>75</v>
      </c>
      <c r="FS56">
        <v>14</v>
      </c>
      <c r="FT56">
        <v>2</v>
      </c>
      <c r="FU56">
        <v>2879</v>
      </c>
      <c r="FV56">
        <v>0</v>
      </c>
      <c r="FW56">
        <v>12</v>
      </c>
      <c r="FX56">
        <v>0</v>
      </c>
      <c r="FY56">
        <v>3320</v>
      </c>
      <c r="FZ56">
        <v>616</v>
      </c>
      <c r="GA56">
        <v>74</v>
      </c>
      <c r="GB56">
        <v>93</v>
      </c>
      <c r="GC56">
        <v>17</v>
      </c>
      <c r="GD56">
        <v>1</v>
      </c>
      <c r="GE56">
        <v>3130</v>
      </c>
      <c r="GF56">
        <v>1</v>
      </c>
      <c r="GG56">
        <v>10</v>
      </c>
      <c r="GH56">
        <v>0</v>
      </c>
      <c r="GI56">
        <v>302</v>
      </c>
      <c r="GJ56">
        <v>407</v>
      </c>
      <c r="GK56">
        <v>436</v>
      </c>
      <c r="GL56">
        <v>371</v>
      </c>
      <c r="GM56">
        <v>205</v>
      </c>
      <c r="GN56">
        <v>174</v>
      </c>
      <c r="GO56">
        <v>187</v>
      </c>
      <c r="GP56">
        <v>152</v>
      </c>
      <c r="GQ56">
        <v>176</v>
      </c>
      <c r="GR56">
        <v>123</v>
      </c>
      <c r="GS56">
        <v>113</v>
      </c>
      <c r="GT56">
        <v>115</v>
      </c>
      <c r="GU56">
        <v>75</v>
      </c>
      <c r="GV56">
        <v>54</v>
      </c>
      <c r="GW56">
        <v>51</v>
      </c>
      <c r="GX56">
        <v>46</v>
      </c>
      <c r="GY56">
        <v>43</v>
      </c>
      <c r="GZ56">
        <v>27</v>
      </c>
      <c r="HA56">
        <v>321</v>
      </c>
      <c r="HB56">
        <v>419</v>
      </c>
      <c r="HC56">
        <v>428</v>
      </c>
      <c r="HD56">
        <v>325</v>
      </c>
      <c r="HE56">
        <v>243</v>
      </c>
      <c r="HF56">
        <v>253</v>
      </c>
      <c r="HG56">
        <v>227</v>
      </c>
      <c r="HH56">
        <v>203</v>
      </c>
      <c r="HI56">
        <v>201</v>
      </c>
      <c r="HJ56">
        <v>131</v>
      </c>
      <c r="HK56">
        <v>126</v>
      </c>
      <c r="HL56">
        <v>97</v>
      </c>
      <c r="HM56">
        <v>86</v>
      </c>
      <c r="HN56">
        <v>80</v>
      </c>
      <c r="HO56">
        <v>56</v>
      </c>
      <c r="HP56">
        <v>56</v>
      </c>
      <c r="HQ56">
        <v>34</v>
      </c>
      <c r="HR56">
        <v>34</v>
      </c>
      <c r="HS56">
        <v>1440</v>
      </c>
      <c r="HT56">
        <v>0</v>
      </c>
      <c r="HU56">
        <v>4</v>
      </c>
      <c r="HV56">
        <v>0</v>
      </c>
      <c r="HW56">
        <v>0</v>
      </c>
      <c r="HX56">
        <v>0</v>
      </c>
      <c r="HY56">
        <v>1</v>
      </c>
      <c r="HZ56">
        <v>0</v>
      </c>
      <c r="IA56">
        <v>85</v>
      </c>
      <c r="IB56">
        <v>136</v>
      </c>
      <c r="IC56">
        <v>185</v>
      </c>
      <c r="ID56">
        <v>288</v>
      </c>
      <c r="IE56">
        <v>291</v>
      </c>
      <c r="IF56">
        <v>195</v>
      </c>
      <c r="IG56">
        <v>141</v>
      </c>
      <c r="IH56">
        <v>82</v>
      </c>
      <c r="II56">
        <v>133</v>
      </c>
      <c r="IJ56">
        <v>33</v>
      </c>
      <c r="IK56">
        <v>323</v>
      </c>
      <c r="IL56">
        <v>469</v>
      </c>
      <c r="IM56">
        <v>378</v>
      </c>
      <c r="IN56">
        <v>205</v>
      </c>
      <c r="IO56">
        <v>67</v>
      </c>
      <c r="IP56">
        <v>40</v>
      </c>
      <c r="IQ56">
        <v>15</v>
      </c>
      <c r="IR56">
        <v>6</v>
      </c>
      <c r="IS56">
        <v>460</v>
      </c>
      <c r="IT56">
        <v>587</v>
      </c>
      <c r="IU56">
        <v>302</v>
      </c>
      <c r="IV56">
        <v>137</v>
      </c>
      <c r="IW56">
        <v>50</v>
      </c>
      <c r="IX56">
        <v>516</v>
      </c>
      <c r="IY56">
        <v>368</v>
      </c>
      <c r="IZ56">
        <v>19</v>
      </c>
      <c r="JA56">
        <v>5</v>
      </c>
      <c r="JB56">
        <v>0</v>
      </c>
      <c r="JC56">
        <v>15</v>
      </c>
      <c r="JD56">
        <v>1471</v>
      </c>
      <c r="JE56">
        <v>65</v>
      </c>
      <c r="JF56">
        <v>0</v>
      </c>
      <c r="JH56" s="28">
        <v>1237.5192342268977</v>
      </c>
      <c r="JI56" s="28">
        <v>10.535753424681195</v>
      </c>
      <c r="JJ56">
        <v>111</v>
      </c>
      <c r="JK56">
        <v>1313</v>
      </c>
      <c r="JL56">
        <v>112</v>
      </c>
      <c r="JM56">
        <v>0</v>
      </c>
      <c r="JN56">
        <v>837</v>
      </c>
      <c r="JO56">
        <v>626</v>
      </c>
      <c r="JP56">
        <v>297</v>
      </c>
      <c r="JQ56">
        <v>942</v>
      </c>
      <c r="JR56">
        <v>1198</v>
      </c>
      <c r="JS56">
        <v>117</v>
      </c>
      <c r="JT56">
        <v>66</v>
      </c>
      <c r="JU56">
        <v>1267</v>
      </c>
      <c r="JV56">
        <v>125</v>
      </c>
      <c r="JW56" s="28"/>
      <c r="JX56" s="28"/>
      <c r="JY56" s="28"/>
      <c r="JZ56" s="28"/>
      <c r="KA56" s="28">
        <v>1525.99999488</v>
      </c>
      <c r="KB56">
        <v>7256</v>
      </c>
      <c r="KC56">
        <v>0</v>
      </c>
      <c r="KD56">
        <v>22</v>
      </c>
      <c r="KE56">
        <v>0</v>
      </c>
      <c r="KF56">
        <v>0</v>
      </c>
      <c r="KG56">
        <v>0</v>
      </c>
      <c r="KH56">
        <v>1</v>
      </c>
      <c r="KI56">
        <v>0</v>
      </c>
      <c r="KJ56">
        <v>540</v>
      </c>
      <c r="KK56">
        <v>6639</v>
      </c>
      <c r="KL56">
        <v>505</v>
      </c>
      <c r="KM56">
        <v>0</v>
      </c>
      <c r="KT56">
        <v>1231</v>
      </c>
      <c r="KU56">
        <v>1186</v>
      </c>
      <c r="KV56">
        <v>1024</v>
      </c>
      <c r="KW56">
        <v>141</v>
      </c>
      <c r="KX56">
        <v>30</v>
      </c>
      <c r="KZ56">
        <v>1019</v>
      </c>
      <c r="LA56">
        <v>102</v>
      </c>
      <c r="LB56">
        <v>27</v>
      </c>
      <c r="LD56">
        <v>714</v>
      </c>
      <c r="LE56">
        <v>719</v>
      </c>
      <c r="LF56">
        <v>131</v>
      </c>
      <c r="LG56">
        <v>304</v>
      </c>
      <c r="LH56">
        <v>4875</v>
      </c>
      <c r="LI56">
        <v>7</v>
      </c>
      <c r="LJ56">
        <v>586</v>
      </c>
      <c r="LK56">
        <v>61</v>
      </c>
      <c r="LL56">
        <v>600</v>
      </c>
      <c r="LM56">
        <v>1</v>
      </c>
      <c r="LN56">
        <v>335</v>
      </c>
      <c r="LO56">
        <v>110</v>
      </c>
      <c r="LP56">
        <v>5</v>
      </c>
      <c r="LQ56">
        <v>596</v>
      </c>
      <c r="LR56">
        <v>43</v>
      </c>
      <c r="LS56">
        <v>647</v>
      </c>
      <c r="LT56">
        <v>0</v>
      </c>
      <c r="LU56">
        <v>353</v>
      </c>
      <c r="LV56">
        <v>107</v>
      </c>
      <c r="LW56" s="44"/>
      <c r="LX56" s="44"/>
      <c r="LY56" s="44"/>
      <c r="LZ56">
        <v>1536</v>
      </c>
      <c r="MA56">
        <v>7684</v>
      </c>
      <c r="MB56">
        <v>7057</v>
      </c>
      <c r="MC56">
        <v>128</v>
      </c>
      <c r="MD56" s="26">
        <v>8.9230769999999993</v>
      </c>
      <c r="ME56" s="26">
        <v>8.607740999999999</v>
      </c>
      <c r="MF56" s="26">
        <v>48.656410000000001</v>
      </c>
      <c r="MG56" s="26">
        <v>17.192571999999998</v>
      </c>
      <c r="MH56" s="26">
        <v>7.2265629999999996</v>
      </c>
      <c r="MI56" s="26">
        <v>0.71614599999999995</v>
      </c>
      <c r="MJ56" s="26">
        <v>17.513020999999998</v>
      </c>
      <c r="MK56" s="26">
        <v>4.2317710000000002</v>
      </c>
      <c r="ML56" s="26">
        <v>0.65104200000000001</v>
      </c>
      <c r="MM56" s="26">
        <v>59.244791999999997</v>
      </c>
      <c r="MN56" s="26">
        <v>45.507812999999999</v>
      </c>
      <c r="MO56" s="26">
        <v>0.28125899999999998</v>
      </c>
      <c r="MP56" t="s">
        <v>1029</v>
      </c>
      <c r="MQ56">
        <v>763</v>
      </c>
      <c r="MR56">
        <v>73</v>
      </c>
    </row>
    <row r="57" spans="1:356">
      <c r="A57" t="s">
        <v>119</v>
      </c>
      <c r="B57" t="s">
        <v>120</v>
      </c>
      <c r="C57">
        <v>32245</v>
      </c>
      <c r="D57">
        <v>41266</v>
      </c>
      <c r="E57">
        <v>46409</v>
      </c>
      <c r="F57">
        <f t="shared" si="2"/>
        <v>5143</v>
      </c>
      <c r="G57" s="26">
        <f t="shared" si="3"/>
        <v>12.463044637231619</v>
      </c>
      <c r="H57">
        <v>22577</v>
      </c>
      <c r="I57">
        <v>23832</v>
      </c>
      <c r="J57">
        <v>14980</v>
      </c>
      <c r="K57">
        <v>31429</v>
      </c>
      <c r="L57">
        <v>2228</v>
      </c>
      <c r="M57">
        <v>2581</v>
      </c>
      <c r="N57">
        <v>2324</v>
      </c>
      <c r="O57">
        <v>2029</v>
      </c>
      <c r="P57">
        <v>1917</v>
      </c>
      <c r="Q57">
        <v>1690</v>
      </c>
      <c r="R57">
        <v>1703</v>
      </c>
      <c r="S57">
        <v>1614</v>
      </c>
      <c r="T57">
        <v>1388</v>
      </c>
      <c r="U57">
        <v>1250</v>
      </c>
      <c r="V57">
        <v>953</v>
      </c>
      <c r="W57">
        <v>788</v>
      </c>
      <c r="X57">
        <v>539</v>
      </c>
      <c r="Y57">
        <v>1571</v>
      </c>
      <c r="Z57">
        <v>2</v>
      </c>
      <c r="AA57">
        <v>2369</v>
      </c>
      <c r="AB57">
        <v>2409</v>
      </c>
      <c r="AC57">
        <v>2261</v>
      </c>
      <c r="AD57">
        <v>2202</v>
      </c>
      <c r="AE57">
        <v>2109</v>
      </c>
      <c r="AF57">
        <v>2008</v>
      </c>
      <c r="AG57">
        <v>1974</v>
      </c>
      <c r="AH57">
        <v>1859</v>
      </c>
      <c r="AI57">
        <v>1510</v>
      </c>
      <c r="AJ57">
        <v>1329</v>
      </c>
      <c r="AK57">
        <v>1023</v>
      </c>
      <c r="AL57">
        <v>782</v>
      </c>
      <c r="AM57">
        <v>542</v>
      </c>
      <c r="AN57">
        <v>1453</v>
      </c>
      <c r="AO57">
        <v>2</v>
      </c>
      <c r="AP57">
        <v>45679</v>
      </c>
      <c r="AQ57">
        <v>369</v>
      </c>
      <c r="AR57">
        <v>30</v>
      </c>
      <c r="AS57">
        <v>320</v>
      </c>
      <c r="AT57">
        <v>11</v>
      </c>
      <c r="AU57">
        <v>2128</v>
      </c>
      <c r="AV57">
        <v>1079</v>
      </c>
      <c r="AW57">
        <v>1049</v>
      </c>
      <c r="AX57">
        <v>1217</v>
      </c>
      <c r="AY57">
        <v>1796</v>
      </c>
      <c r="AZ57">
        <v>1768</v>
      </c>
      <c r="BA57">
        <v>28</v>
      </c>
      <c r="BB57">
        <v>50</v>
      </c>
      <c r="BC57">
        <v>36</v>
      </c>
      <c r="BD57">
        <v>120</v>
      </c>
      <c r="BE57">
        <v>127</v>
      </c>
      <c r="BF57">
        <v>132</v>
      </c>
      <c r="BG57">
        <v>117</v>
      </c>
      <c r="BH57">
        <v>114</v>
      </c>
      <c r="BI57">
        <v>127</v>
      </c>
      <c r="BJ57">
        <v>114</v>
      </c>
      <c r="BK57">
        <v>120</v>
      </c>
      <c r="BL57">
        <v>110</v>
      </c>
      <c r="BM57">
        <v>103</v>
      </c>
      <c r="BN57">
        <v>85</v>
      </c>
      <c r="BO57">
        <v>85</v>
      </c>
      <c r="BP57">
        <v>74</v>
      </c>
      <c r="BQ57">
        <v>83</v>
      </c>
      <c r="BR57">
        <v>65</v>
      </c>
      <c r="BS57">
        <v>47</v>
      </c>
      <c r="BT57">
        <v>33</v>
      </c>
      <c r="BU57">
        <v>54</v>
      </c>
      <c r="BV57">
        <v>39</v>
      </c>
      <c r="BW57">
        <v>39</v>
      </c>
      <c r="BX57">
        <v>35</v>
      </c>
      <c r="BY57">
        <v>28</v>
      </c>
      <c r="BZ57">
        <v>23</v>
      </c>
      <c r="CA57">
        <v>25</v>
      </c>
      <c r="CB57">
        <v>85</v>
      </c>
      <c r="CC57">
        <v>58</v>
      </c>
      <c r="CD57">
        <v>1072</v>
      </c>
      <c r="CE57">
        <v>1023</v>
      </c>
      <c r="CF57">
        <v>5</v>
      </c>
      <c r="CG57">
        <v>25</v>
      </c>
      <c r="CH57">
        <v>9491</v>
      </c>
      <c r="CI57">
        <v>1593</v>
      </c>
      <c r="CJ57">
        <v>40985</v>
      </c>
      <c r="CK57">
        <v>5356</v>
      </c>
      <c r="CL57">
        <v>435</v>
      </c>
      <c r="CM57">
        <v>1543</v>
      </c>
      <c r="CN57">
        <v>2158</v>
      </c>
      <c r="CO57">
        <v>2823</v>
      </c>
      <c r="CP57">
        <v>1967</v>
      </c>
      <c r="CQ57">
        <v>2158</v>
      </c>
      <c r="CR57">
        <v>9271</v>
      </c>
      <c r="CS57">
        <v>19592</v>
      </c>
      <c r="CT57">
        <v>3208</v>
      </c>
      <c r="CU57">
        <v>1696</v>
      </c>
      <c r="CV57">
        <v>653</v>
      </c>
      <c r="CW57">
        <v>796</v>
      </c>
      <c r="CX57">
        <v>38</v>
      </c>
      <c r="CY57">
        <v>7712</v>
      </c>
      <c r="CZ57">
        <v>2905</v>
      </c>
      <c r="DA57">
        <v>29</v>
      </c>
      <c r="DB57">
        <v>435</v>
      </c>
      <c r="DC57">
        <v>2</v>
      </c>
      <c r="DD57">
        <v>1939</v>
      </c>
      <c r="DE57">
        <v>3630</v>
      </c>
      <c r="DF57">
        <v>5951</v>
      </c>
      <c r="DG57">
        <v>19909</v>
      </c>
      <c r="DH57">
        <v>3620</v>
      </c>
      <c r="DI57">
        <v>11360</v>
      </c>
      <c r="DJ57">
        <v>0</v>
      </c>
      <c r="DK57">
        <v>0</v>
      </c>
      <c r="DL57">
        <v>0</v>
      </c>
      <c r="DM57">
        <v>59</v>
      </c>
      <c r="DN57">
        <v>21</v>
      </c>
      <c r="DO57">
        <v>17</v>
      </c>
      <c r="DP57">
        <v>20</v>
      </c>
      <c r="DQ57">
        <v>1</v>
      </c>
      <c r="DR57">
        <v>2</v>
      </c>
      <c r="DS57">
        <v>0</v>
      </c>
      <c r="DT57">
        <v>0</v>
      </c>
      <c r="DU57">
        <v>0</v>
      </c>
      <c r="DV57">
        <v>839</v>
      </c>
      <c r="DW57">
        <v>896</v>
      </c>
      <c r="DX57">
        <v>1093</v>
      </c>
      <c r="DY57">
        <v>1141</v>
      </c>
      <c r="DZ57">
        <v>645</v>
      </c>
      <c r="EA57">
        <v>580</v>
      </c>
      <c r="EB57">
        <v>276</v>
      </c>
      <c r="EC57">
        <v>263</v>
      </c>
      <c r="ED57">
        <v>275</v>
      </c>
      <c r="EE57">
        <v>286</v>
      </c>
      <c r="EF57">
        <v>362</v>
      </c>
      <c r="EG57">
        <v>422</v>
      </c>
      <c r="EH57">
        <v>222</v>
      </c>
      <c r="EI57">
        <v>229</v>
      </c>
      <c r="EJ57">
        <v>1461</v>
      </c>
      <c r="EK57">
        <v>1891</v>
      </c>
      <c r="EL57">
        <v>1043</v>
      </c>
      <c r="EM57">
        <v>444</v>
      </c>
      <c r="EN57">
        <v>463</v>
      </c>
      <c r="EO57">
        <v>644</v>
      </c>
      <c r="EP57">
        <v>365</v>
      </c>
      <c r="EQ57">
        <v>14799</v>
      </c>
      <c r="ER57">
        <v>14671</v>
      </c>
      <c r="ES57">
        <v>128</v>
      </c>
      <c r="ET57">
        <v>1860</v>
      </c>
      <c r="EU57">
        <v>9219</v>
      </c>
      <c r="EV57">
        <v>9207</v>
      </c>
      <c r="EW57">
        <v>12</v>
      </c>
      <c r="EX57">
        <v>8820</v>
      </c>
      <c r="EY57" s="26">
        <v>72.372641999999999</v>
      </c>
      <c r="EZ57" s="26">
        <v>8.2060829999999996</v>
      </c>
      <c r="FA57" s="26">
        <v>8.4691390000000002</v>
      </c>
      <c r="FB57" s="26">
        <v>10.631335999999999</v>
      </c>
      <c r="FC57" s="26">
        <v>0.320801</v>
      </c>
      <c r="FD57">
        <v>2251</v>
      </c>
      <c r="FE57">
        <v>13535</v>
      </c>
      <c r="FF57">
        <v>942</v>
      </c>
      <c r="FG57">
        <v>4769</v>
      </c>
      <c r="FH57">
        <v>7</v>
      </c>
      <c r="FI57">
        <v>1814</v>
      </c>
      <c r="FJ57">
        <v>696</v>
      </c>
      <c r="FK57" s="26" t="s">
        <v>359</v>
      </c>
      <c r="FL57" s="26" t="s">
        <v>359</v>
      </c>
      <c r="FM57" s="26" t="s">
        <v>359</v>
      </c>
      <c r="FN57" s="26" t="s">
        <v>359</v>
      </c>
      <c r="FO57" s="28">
        <v>18710</v>
      </c>
      <c r="FP57" s="28">
        <v>3864</v>
      </c>
      <c r="FQ57">
        <v>410</v>
      </c>
      <c r="FR57">
        <v>129</v>
      </c>
      <c r="FS57">
        <v>12</v>
      </c>
      <c r="FT57">
        <v>5</v>
      </c>
      <c r="FU57">
        <v>18108</v>
      </c>
      <c r="FV57">
        <v>3</v>
      </c>
      <c r="FW57">
        <v>4</v>
      </c>
      <c r="FX57">
        <v>3</v>
      </c>
      <c r="FY57">
        <v>20253</v>
      </c>
      <c r="FZ57">
        <v>3570</v>
      </c>
      <c r="GA57">
        <v>339</v>
      </c>
      <c r="GB57">
        <v>116</v>
      </c>
      <c r="GC57">
        <v>20</v>
      </c>
      <c r="GD57">
        <v>6</v>
      </c>
      <c r="GE57">
        <v>19734</v>
      </c>
      <c r="GF57">
        <v>4</v>
      </c>
      <c r="GG57">
        <v>2</v>
      </c>
      <c r="GH57">
        <v>9</v>
      </c>
      <c r="GI57">
        <v>1616</v>
      </c>
      <c r="GJ57">
        <v>2201</v>
      </c>
      <c r="GK57">
        <v>1980</v>
      </c>
      <c r="GL57">
        <v>1678</v>
      </c>
      <c r="GM57">
        <v>1573</v>
      </c>
      <c r="GN57">
        <v>1418</v>
      </c>
      <c r="GO57">
        <v>1443</v>
      </c>
      <c r="GP57">
        <v>1361</v>
      </c>
      <c r="GQ57">
        <v>1166</v>
      </c>
      <c r="GR57">
        <v>1058</v>
      </c>
      <c r="GS57">
        <v>790</v>
      </c>
      <c r="GT57">
        <v>663</v>
      </c>
      <c r="GU57">
        <v>429</v>
      </c>
      <c r="GV57">
        <v>452</v>
      </c>
      <c r="GW57">
        <v>330</v>
      </c>
      <c r="GX57">
        <v>258</v>
      </c>
      <c r="GY57">
        <v>167</v>
      </c>
      <c r="GZ57">
        <v>127</v>
      </c>
      <c r="HA57">
        <v>1766</v>
      </c>
      <c r="HB57">
        <v>2082</v>
      </c>
      <c r="HC57">
        <v>1952</v>
      </c>
      <c r="HD57">
        <v>1823</v>
      </c>
      <c r="HE57">
        <v>1755</v>
      </c>
      <c r="HF57">
        <v>1743</v>
      </c>
      <c r="HG57">
        <v>1735</v>
      </c>
      <c r="HH57">
        <v>1634</v>
      </c>
      <c r="HI57">
        <v>1331</v>
      </c>
      <c r="HJ57">
        <v>1160</v>
      </c>
      <c r="HK57">
        <v>865</v>
      </c>
      <c r="HL57">
        <v>677</v>
      </c>
      <c r="HM57">
        <v>454</v>
      </c>
      <c r="HN57">
        <v>458</v>
      </c>
      <c r="HO57">
        <v>304</v>
      </c>
      <c r="HP57">
        <v>262</v>
      </c>
      <c r="HQ57">
        <v>124</v>
      </c>
      <c r="HR57">
        <v>128</v>
      </c>
      <c r="HS57">
        <v>9994</v>
      </c>
      <c r="HT57">
        <v>0</v>
      </c>
      <c r="HU57">
        <v>1</v>
      </c>
      <c r="HV57">
        <v>0</v>
      </c>
      <c r="HW57">
        <v>6</v>
      </c>
      <c r="HX57">
        <v>0</v>
      </c>
      <c r="HY57">
        <v>0</v>
      </c>
      <c r="HZ57">
        <v>3</v>
      </c>
      <c r="IA57">
        <v>435</v>
      </c>
      <c r="IB57">
        <v>1543</v>
      </c>
      <c r="IC57">
        <v>2155</v>
      </c>
      <c r="ID57">
        <v>2820</v>
      </c>
      <c r="IE57">
        <v>1967</v>
      </c>
      <c r="IF57">
        <v>1069</v>
      </c>
      <c r="IG57">
        <v>542</v>
      </c>
      <c r="IH57">
        <v>239</v>
      </c>
      <c r="II57">
        <v>308</v>
      </c>
      <c r="IJ57">
        <v>280</v>
      </c>
      <c r="IK57">
        <v>2202</v>
      </c>
      <c r="IL57">
        <v>3435</v>
      </c>
      <c r="IM57">
        <v>3036</v>
      </c>
      <c r="IN57">
        <v>1432</v>
      </c>
      <c r="IO57">
        <v>474</v>
      </c>
      <c r="IP57">
        <v>149</v>
      </c>
      <c r="IQ57">
        <v>45</v>
      </c>
      <c r="IR57">
        <v>24</v>
      </c>
      <c r="IS57">
        <v>4344</v>
      </c>
      <c r="IT57">
        <v>4491</v>
      </c>
      <c r="IU57">
        <v>1755</v>
      </c>
      <c r="IV57">
        <v>424</v>
      </c>
      <c r="IW57">
        <v>63</v>
      </c>
      <c r="IX57">
        <v>597</v>
      </c>
      <c r="IY57">
        <v>4333</v>
      </c>
      <c r="IZ57">
        <v>39</v>
      </c>
      <c r="JA57">
        <v>110</v>
      </c>
      <c r="JB57">
        <v>2</v>
      </c>
      <c r="JC57">
        <v>632</v>
      </c>
      <c r="JD57">
        <v>8067</v>
      </c>
      <c r="JE57">
        <v>3010</v>
      </c>
      <c r="JF57">
        <v>1</v>
      </c>
      <c r="JH57" s="28">
        <v>8915.7995204302388</v>
      </c>
      <c r="JI57" s="28">
        <v>122.95534591181161</v>
      </c>
      <c r="JJ57">
        <v>870</v>
      </c>
      <c r="JK57">
        <v>9764</v>
      </c>
      <c r="JL57">
        <v>443</v>
      </c>
      <c r="JM57">
        <v>1</v>
      </c>
      <c r="JN57">
        <v>5268</v>
      </c>
      <c r="JO57">
        <v>5507</v>
      </c>
      <c r="JP57">
        <v>2789</v>
      </c>
      <c r="JQ57">
        <v>6537</v>
      </c>
      <c r="JR57">
        <v>8866</v>
      </c>
      <c r="JS57">
        <v>512</v>
      </c>
      <c r="JT57">
        <v>242</v>
      </c>
      <c r="JU57">
        <v>7462</v>
      </c>
      <c r="JV57">
        <v>597</v>
      </c>
      <c r="JW57" s="28"/>
      <c r="JX57" s="28"/>
      <c r="JY57" s="28"/>
      <c r="JZ57" s="28"/>
      <c r="KA57" s="28">
        <v>11002.000045680001</v>
      </c>
      <c r="KB57">
        <v>42430</v>
      </c>
      <c r="KC57">
        <v>0</v>
      </c>
      <c r="KD57">
        <v>5</v>
      </c>
      <c r="KE57">
        <v>0</v>
      </c>
      <c r="KF57">
        <v>21</v>
      </c>
      <c r="KG57">
        <v>0</v>
      </c>
      <c r="KH57">
        <v>0</v>
      </c>
      <c r="KI57">
        <v>4</v>
      </c>
      <c r="KJ57">
        <v>3872</v>
      </c>
      <c r="KK57">
        <v>40727</v>
      </c>
      <c r="KL57">
        <v>1717</v>
      </c>
      <c r="KM57">
        <v>4</v>
      </c>
      <c r="KT57">
        <v>5614</v>
      </c>
      <c r="KU57">
        <v>5093</v>
      </c>
      <c r="KV57">
        <v>4902</v>
      </c>
      <c r="KW57">
        <v>372</v>
      </c>
      <c r="KX57">
        <v>112</v>
      </c>
      <c r="KZ57">
        <v>4520</v>
      </c>
      <c r="LA57">
        <v>291</v>
      </c>
      <c r="LB57">
        <v>79</v>
      </c>
      <c r="LD57">
        <v>3538</v>
      </c>
      <c r="LE57">
        <v>3421</v>
      </c>
      <c r="LF57">
        <v>1373</v>
      </c>
      <c r="LG57">
        <v>2680</v>
      </c>
      <c r="LH57">
        <v>32233</v>
      </c>
      <c r="LI57">
        <v>27</v>
      </c>
      <c r="LJ57">
        <v>4946</v>
      </c>
      <c r="LK57">
        <v>489</v>
      </c>
      <c r="LL57">
        <v>3111</v>
      </c>
      <c r="LM57">
        <v>5</v>
      </c>
      <c r="LN57">
        <v>1070</v>
      </c>
      <c r="LO57">
        <v>214</v>
      </c>
      <c r="LP57">
        <v>32</v>
      </c>
      <c r="LQ57">
        <v>5643</v>
      </c>
      <c r="LR57">
        <v>474</v>
      </c>
      <c r="LS57">
        <v>3320</v>
      </c>
      <c r="LT57">
        <v>5</v>
      </c>
      <c r="LU57">
        <v>753</v>
      </c>
      <c r="LV57">
        <v>120</v>
      </c>
      <c r="LW57" s="44"/>
      <c r="LX57" s="44"/>
      <c r="LY57" s="44"/>
      <c r="LZ57">
        <v>11078</v>
      </c>
      <c r="MA57">
        <v>46320</v>
      </c>
      <c r="MB57">
        <v>44891</v>
      </c>
      <c r="MC57">
        <v>2109</v>
      </c>
      <c r="MD57" s="26">
        <v>12.574069999999999</v>
      </c>
      <c r="ME57" s="26">
        <v>15.149025999999999</v>
      </c>
      <c r="MF57" s="26">
        <v>69.413333999999992</v>
      </c>
      <c r="MG57" s="26">
        <v>16.018445</v>
      </c>
      <c r="MH57" s="26">
        <v>7.8534029999999992</v>
      </c>
      <c r="MI57" s="26">
        <v>1.633869</v>
      </c>
      <c r="MJ57" s="26">
        <v>6.797256</v>
      </c>
      <c r="MK57" s="26">
        <v>27.170968999999999</v>
      </c>
      <c r="ML57" s="26">
        <v>0.68604399999999999</v>
      </c>
      <c r="MM57" s="26">
        <v>50.288860999999997</v>
      </c>
      <c r="MN57" s="26">
        <v>52.446289999999998</v>
      </c>
      <c r="MO57" s="26">
        <v>0.77227999999999997</v>
      </c>
      <c r="MP57" t="s">
        <v>1029</v>
      </c>
      <c r="MQ57">
        <v>473</v>
      </c>
      <c r="MR57">
        <v>42</v>
      </c>
    </row>
    <row r="58" spans="1:356">
      <c r="A58" t="s">
        <v>137</v>
      </c>
      <c r="B58" t="s">
        <v>138</v>
      </c>
      <c r="C58">
        <v>5288</v>
      </c>
      <c r="D58">
        <v>4974</v>
      </c>
      <c r="E58">
        <v>5232</v>
      </c>
      <c r="F58">
        <f t="shared" si="2"/>
        <v>258</v>
      </c>
      <c r="G58" s="26">
        <f t="shared" si="3"/>
        <v>5.186972255729799</v>
      </c>
      <c r="H58">
        <v>2607</v>
      </c>
      <c r="I58">
        <v>2625</v>
      </c>
      <c r="J58">
        <v>0</v>
      </c>
      <c r="K58">
        <v>5232</v>
      </c>
      <c r="L58">
        <v>223</v>
      </c>
      <c r="M58">
        <v>259</v>
      </c>
      <c r="N58">
        <v>213</v>
      </c>
      <c r="O58">
        <v>194</v>
      </c>
      <c r="P58">
        <v>145</v>
      </c>
      <c r="Q58">
        <v>155</v>
      </c>
      <c r="R58">
        <v>158</v>
      </c>
      <c r="S58">
        <v>162</v>
      </c>
      <c r="T58">
        <v>172</v>
      </c>
      <c r="U58">
        <v>171</v>
      </c>
      <c r="V58">
        <v>157</v>
      </c>
      <c r="W58">
        <v>149</v>
      </c>
      <c r="X58">
        <v>135</v>
      </c>
      <c r="Y58">
        <v>314</v>
      </c>
      <c r="Z58">
        <v>0</v>
      </c>
      <c r="AA58">
        <v>209</v>
      </c>
      <c r="AB58">
        <v>217</v>
      </c>
      <c r="AC58">
        <v>210</v>
      </c>
      <c r="AD58">
        <v>176</v>
      </c>
      <c r="AE58">
        <v>165</v>
      </c>
      <c r="AF58">
        <v>195</v>
      </c>
      <c r="AG58">
        <v>187</v>
      </c>
      <c r="AH58">
        <v>181</v>
      </c>
      <c r="AI58">
        <v>172</v>
      </c>
      <c r="AJ58">
        <v>200</v>
      </c>
      <c r="AK58">
        <v>159</v>
      </c>
      <c r="AL58">
        <v>132</v>
      </c>
      <c r="AM58">
        <v>122</v>
      </c>
      <c r="AN58">
        <v>300</v>
      </c>
      <c r="AO58">
        <v>0</v>
      </c>
      <c r="AP58">
        <v>4597</v>
      </c>
      <c r="AQ58">
        <v>627</v>
      </c>
      <c r="AR58">
        <v>0</v>
      </c>
      <c r="AS58">
        <v>8</v>
      </c>
      <c r="AT58">
        <v>0</v>
      </c>
      <c r="AU58">
        <v>162</v>
      </c>
      <c r="AV58">
        <v>81</v>
      </c>
      <c r="AW58">
        <v>81</v>
      </c>
      <c r="AX58">
        <v>73</v>
      </c>
      <c r="AY58">
        <v>115</v>
      </c>
      <c r="AZ58">
        <v>115</v>
      </c>
      <c r="BA58">
        <v>0</v>
      </c>
      <c r="BB58">
        <v>4</v>
      </c>
      <c r="BC58">
        <v>5</v>
      </c>
      <c r="BD58">
        <v>13</v>
      </c>
      <c r="BE58">
        <v>7</v>
      </c>
      <c r="BF58">
        <v>7</v>
      </c>
      <c r="BG58">
        <v>9</v>
      </c>
      <c r="BH58">
        <v>7</v>
      </c>
      <c r="BI58">
        <v>6</v>
      </c>
      <c r="BJ58">
        <v>9</v>
      </c>
      <c r="BK58">
        <v>12</v>
      </c>
      <c r="BL58">
        <v>6</v>
      </c>
      <c r="BM58">
        <v>4</v>
      </c>
      <c r="BN58">
        <v>5</v>
      </c>
      <c r="BO58">
        <v>11</v>
      </c>
      <c r="BP58">
        <v>4</v>
      </c>
      <c r="BQ58">
        <v>5</v>
      </c>
      <c r="BR58">
        <v>4</v>
      </c>
      <c r="BS58">
        <v>6</v>
      </c>
      <c r="BT58">
        <v>7</v>
      </c>
      <c r="BU58">
        <v>8</v>
      </c>
      <c r="BV58">
        <v>5</v>
      </c>
      <c r="BW58">
        <v>3</v>
      </c>
      <c r="BX58">
        <v>7</v>
      </c>
      <c r="BY58">
        <v>1</v>
      </c>
      <c r="BZ58">
        <v>1</v>
      </c>
      <c r="CA58">
        <v>2</v>
      </c>
      <c r="CB58">
        <v>2</v>
      </c>
      <c r="CC58">
        <v>2</v>
      </c>
      <c r="CD58">
        <v>80</v>
      </c>
      <c r="CE58">
        <v>76</v>
      </c>
      <c r="CF58">
        <v>1</v>
      </c>
      <c r="CG58">
        <v>5</v>
      </c>
      <c r="CH58">
        <v>1220</v>
      </c>
      <c r="CI58">
        <v>366</v>
      </c>
      <c r="CJ58">
        <v>4161</v>
      </c>
      <c r="CK58">
        <v>1071</v>
      </c>
      <c r="CL58">
        <v>186</v>
      </c>
      <c r="CM58">
        <v>385</v>
      </c>
      <c r="CN58">
        <v>352</v>
      </c>
      <c r="CO58">
        <v>324</v>
      </c>
      <c r="CP58">
        <v>206</v>
      </c>
      <c r="CQ58">
        <v>133</v>
      </c>
      <c r="CR58">
        <v>1114</v>
      </c>
      <c r="CS58">
        <v>1823</v>
      </c>
      <c r="CT58">
        <v>403</v>
      </c>
      <c r="CU58">
        <v>113</v>
      </c>
      <c r="CV58">
        <v>68</v>
      </c>
      <c r="CW58">
        <v>114</v>
      </c>
      <c r="CX58">
        <v>11</v>
      </c>
      <c r="CY58">
        <v>992</v>
      </c>
      <c r="CZ58">
        <v>397</v>
      </c>
      <c r="DA58">
        <v>6</v>
      </c>
      <c r="DB58">
        <v>186</v>
      </c>
      <c r="DC58">
        <v>5</v>
      </c>
      <c r="DD58">
        <v>782</v>
      </c>
      <c r="DE58">
        <v>840</v>
      </c>
      <c r="DF58">
        <v>448</v>
      </c>
      <c r="DG58">
        <v>3162</v>
      </c>
      <c r="DH58">
        <v>0</v>
      </c>
      <c r="DI58">
        <v>0</v>
      </c>
      <c r="DJ58">
        <v>0</v>
      </c>
      <c r="DK58">
        <v>0</v>
      </c>
      <c r="DL58">
        <v>0</v>
      </c>
      <c r="DM58">
        <v>60</v>
      </c>
      <c r="DN58">
        <v>5</v>
      </c>
      <c r="DO58">
        <v>1</v>
      </c>
      <c r="DP58">
        <v>2</v>
      </c>
      <c r="DQ58">
        <v>0</v>
      </c>
      <c r="DR58">
        <v>0</v>
      </c>
      <c r="DS58">
        <v>0</v>
      </c>
      <c r="DT58">
        <v>0</v>
      </c>
      <c r="DU58">
        <v>0</v>
      </c>
      <c r="DV58">
        <v>220</v>
      </c>
      <c r="DW58">
        <v>255</v>
      </c>
      <c r="DX58">
        <v>370</v>
      </c>
      <c r="DY58">
        <v>416</v>
      </c>
      <c r="DZ58">
        <v>119</v>
      </c>
      <c r="EA58">
        <v>100</v>
      </c>
      <c r="EB58">
        <v>55</v>
      </c>
      <c r="EC58">
        <v>47</v>
      </c>
      <c r="ED58">
        <v>43</v>
      </c>
      <c r="EE58">
        <v>58</v>
      </c>
      <c r="EF58">
        <v>81</v>
      </c>
      <c r="EG58">
        <v>115</v>
      </c>
      <c r="EH58">
        <v>25</v>
      </c>
      <c r="EI58">
        <v>29</v>
      </c>
      <c r="EJ58">
        <v>271</v>
      </c>
      <c r="EK58">
        <v>446</v>
      </c>
      <c r="EL58">
        <v>111</v>
      </c>
      <c r="EM58">
        <v>44</v>
      </c>
      <c r="EN58">
        <v>47</v>
      </c>
      <c r="EO58">
        <v>98</v>
      </c>
      <c r="EP58">
        <v>19</v>
      </c>
      <c r="EQ58">
        <v>1683</v>
      </c>
      <c r="ER58">
        <v>1675</v>
      </c>
      <c r="ES58">
        <v>8</v>
      </c>
      <c r="ET58">
        <v>372</v>
      </c>
      <c r="EU58">
        <v>903</v>
      </c>
      <c r="EV58">
        <v>901</v>
      </c>
      <c r="EW58">
        <v>2</v>
      </c>
      <c r="EX58">
        <v>1207</v>
      </c>
      <c r="EY58" s="26">
        <v>49.370041999999998</v>
      </c>
      <c r="EZ58" s="26">
        <v>8.4461040000000001</v>
      </c>
      <c r="FA58" s="26">
        <v>11.572562</v>
      </c>
      <c r="FB58" s="26">
        <v>30.424638000000002</v>
      </c>
      <c r="FC58" s="26">
        <v>0.18665399999999999</v>
      </c>
      <c r="FD58">
        <v>238</v>
      </c>
      <c r="FE58">
        <v>799</v>
      </c>
      <c r="FF58">
        <v>85</v>
      </c>
      <c r="FG58">
        <v>692</v>
      </c>
      <c r="FH58">
        <v>3</v>
      </c>
      <c r="FI58">
        <v>453</v>
      </c>
      <c r="FJ58">
        <v>315</v>
      </c>
      <c r="FK58" s="26" t="s">
        <v>359</v>
      </c>
      <c r="FL58" s="26" t="s">
        <v>359</v>
      </c>
      <c r="FM58" s="26" t="s">
        <v>359</v>
      </c>
      <c r="FN58" s="26" t="s">
        <v>359</v>
      </c>
      <c r="FO58" s="28">
        <v>1437</v>
      </c>
      <c r="FP58" s="28">
        <v>1169</v>
      </c>
      <c r="FQ58">
        <v>174</v>
      </c>
      <c r="FR58">
        <v>51</v>
      </c>
      <c r="FS58">
        <v>8</v>
      </c>
      <c r="FT58">
        <v>3</v>
      </c>
      <c r="FU58">
        <v>1161</v>
      </c>
      <c r="FV58">
        <v>1</v>
      </c>
      <c r="FW58">
        <v>82</v>
      </c>
      <c r="FX58">
        <v>1</v>
      </c>
      <c r="FY58">
        <v>1530</v>
      </c>
      <c r="FZ58">
        <v>1095</v>
      </c>
      <c r="GA58">
        <v>147</v>
      </c>
      <c r="GB58">
        <v>52</v>
      </c>
      <c r="GC58">
        <v>10</v>
      </c>
      <c r="GD58">
        <v>5</v>
      </c>
      <c r="GE58">
        <v>1264</v>
      </c>
      <c r="GF58">
        <v>3</v>
      </c>
      <c r="GG58">
        <v>91</v>
      </c>
      <c r="GH58">
        <v>0</v>
      </c>
      <c r="GI58">
        <v>121</v>
      </c>
      <c r="GJ58">
        <v>147</v>
      </c>
      <c r="GK58">
        <v>139</v>
      </c>
      <c r="GL58">
        <v>114</v>
      </c>
      <c r="GM58">
        <v>73</v>
      </c>
      <c r="GN58">
        <v>77</v>
      </c>
      <c r="GO58">
        <v>78</v>
      </c>
      <c r="GP58">
        <v>82</v>
      </c>
      <c r="GQ58">
        <v>99</v>
      </c>
      <c r="GR58">
        <v>102</v>
      </c>
      <c r="GS58">
        <v>95</v>
      </c>
      <c r="GT58">
        <v>75</v>
      </c>
      <c r="GU58">
        <v>66</v>
      </c>
      <c r="GV58">
        <v>55</v>
      </c>
      <c r="GW58">
        <v>43</v>
      </c>
      <c r="GX58">
        <v>30</v>
      </c>
      <c r="GY58">
        <v>21</v>
      </c>
      <c r="GZ58">
        <v>20</v>
      </c>
      <c r="HA58">
        <v>102</v>
      </c>
      <c r="HB58">
        <v>140</v>
      </c>
      <c r="HC58">
        <v>125</v>
      </c>
      <c r="HD58">
        <v>95</v>
      </c>
      <c r="HE58">
        <v>89</v>
      </c>
      <c r="HF58">
        <v>126</v>
      </c>
      <c r="HG58">
        <v>108</v>
      </c>
      <c r="HH58">
        <v>111</v>
      </c>
      <c r="HI58">
        <v>103</v>
      </c>
      <c r="HJ58">
        <v>127</v>
      </c>
      <c r="HK58">
        <v>100</v>
      </c>
      <c r="HL58">
        <v>65</v>
      </c>
      <c r="HM58">
        <v>61</v>
      </c>
      <c r="HN58">
        <v>64</v>
      </c>
      <c r="HO58">
        <v>39</v>
      </c>
      <c r="HP58">
        <v>34</v>
      </c>
      <c r="HQ58">
        <v>21</v>
      </c>
      <c r="HR58">
        <v>20</v>
      </c>
      <c r="HS58">
        <v>1213</v>
      </c>
      <c r="HT58">
        <v>0</v>
      </c>
      <c r="HU58">
        <v>10</v>
      </c>
      <c r="HV58">
        <v>0</v>
      </c>
      <c r="HW58">
        <v>1</v>
      </c>
      <c r="HX58">
        <v>0</v>
      </c>
      <c r="HY58">
        <v>4</v>
      </c>
      <c r="HZ58">
        <v>0</v>
      </c>
      <c r="IA58">
        <v>184</v>
      </c>
      <c r="IB58">
        <v>385</v>
      </c>
      <c r="IC58">
        <v>352</v>
      </c>
      <c r="ID58">
        <v>324</v>
      </c>
      <c r="IE58">
        <v>204</v>
      </c>
      <c r="IF58">
        <v>80</v>
      </c>
      <c r="IG58">
        <v>24</v>
      </c>
      <c r="IH58">
        <v>15</v>
      </c>
      <c r="II58">
        <v>13</v>
      </c>
      <c r="IJ58">
        <v>240</v>
      </c>
      <c r="IK58">
        <v>332</v>
      </c>
      <c r="IL58">
        <v>427</v>
      </c>
      <c r="IM58">
        <v>419</v>
      </c>
      <c r="IN58">
        <v>128</v>
      </c>
      <c r="IO58">
        <v>26</v>
      </c>
      <c r="IP58">
        <v>6</v>
      </c>
      <c r="IQ58">
        <v>1</v>
      </c>
      <c r="IR58">
        <v>2</v>
      </c>
      <c r="IS58">
        <v>750</v>
      </c>
      <c r="IT58">
        <v>698</v>
      </c>
      <c r="IU58">
        <v>117</v>
      </c>
      <c r="IV58">
        <v>12</v>
      </c>
      <c r="IW58">
        <v>4</v>
      </c>
      <c r="IX58">
        <v>719</v>
      </c>
      <c r="IY58">
        <v>109</v>
      </c>
      <c r="IZ58">
        <v>3</v>
      </c>
      <c r="JA58">
        <v>6</v>
      </c>
      <c r="JB58">
        <v>0</v>
      </c>
      <c r="JC58">
        <v>34</v>
      </c>
      <c r="JD58">
        <v>1521</v>
      </c>
      <c r="JE58">
        <v>60</v>
      </c>
      <c r="JF58">
        <v>0</v>
      </c>
      <c r="JH58" s="28">
        <v>1307.6800586312986</v>
      </c>
      <c r="JI58" s="28">
        <v>99.346216739951061</v>
      </c>
      <c r="JJ58">
        <v>29</v>
      </c>
      <c r="JK58">
        <v>1220</v>
      </c>
      <c r="JL58">
        <v>332</v>
      </c>
      <c r="JM58">
        <v>0</v>
      </c>
      <c r="JN58">
        <v>1381</v>
      </c>
      <c r="JO58">
        <v>864</v>
      </c>
      <c r="JP58">
        <v>306</v>
      </c>
      <c r="JQ58">
        <v>989</v>
      </c>
      <c r="JR58">
        <v>1293</v>
      </c>
      <c r="JS58">
        <v>159</v>
      </c>
      <c r="JT58">
        <v>162</v>
      </c>
      <c r="JU58">
        <v>1183</v>
      </c>
      <c r="JV58">
        <v>149</v>
      </c>
      <c r="JW58" s="28"/>
      <c r="JX58" s="28"/>
      <c r="JY58" s="28"/>
      <c r="JZ58" s="28"/>
      <c r="KA58" s="28">
        <v>1553.9999981999999</v>
      </c>
      <c r="KB58">
        <v>4096</v>
      </c>
      <c r="KC58">
        <v>0</v>
      </c>
      <c r="KD58">
        <v>24</v>
      </c>
      <c r="KE58">
        <v>0</v>
      </c>
      <c r="KF58">
        <v>6</v>
      </c>
      <c r="KG58">
        <v>0</v>
      </c>
      <c r="KH58">
        <v>12</v>
      </c>
      <c r="KI58">
        <v>0</v>
      </c>
      <c r="KJ58">
        <v>102</v>
      </c>
      <c r="KK58">
        <v>4070</v>
      </c>
      <c r="KL58">
        <v>1042</v>
      </c>
      <c r="KM58">
        <v>0</v>
      </c>
      <c r="KT58">
        <v>633</v>
      </c>
      <c r="KU58">
        <v>577</v>
      </c>
      <c r="KV58">
        <v>493</v>
      </c>
      <c r="KW58">
        <v>79</v>
      </c>
      <c r="KX58">
        <v>42</v>
      </c>
      <c r="KZ58">
        <v>451</v>
      </c>
      <c r="LA58">
        <v>83</v>
      </c>
      <c r="LB58">
        <v>33</v>
      </c>
      <c r="LD58">
        <v>358</v>
      </c>
      <c r="LE58">
        <v>343</v>
      </c>
      <c r="LF58">
        <v>185</v>
      </c>
      <c r="LG58">
        <v>284</v>
      </c>
      <c r="LH58">
        <v>3901</v>
      </c>
      <c r="LI58">
        <v>1</v>
      </c>
      <c r="LJ58">
        <v>249</v>
      </c>
      <c r="LK58">
        <v>57</v>
      </c>
      <c r="LL58">
        <v>433</v>
      </c>
      <c r="LM58">
        <v>3</v>
      </c>
      <c r="LN58">
        <v>270</v>
      </c>
      <c r="LO58">
        <v>164</v>
      </c>
      <c r="LP58">
        <v>5</v>
      </c>
      <c r="LQ58">
        <v>228</v>
      </c>
      <c r="LR58">
        <v>47</v>
      </c>
      <c r="LS58">
        <v>595</v>
      </c>
      <c r="LT58">
        <v>2</v>
      </c>
      <c r="LU58">
        <v>263</v>
      </c>
      <c r="LV58">
        <v>106</v>
      </c>
      <c r="LW58" s="44"/>
      <c r="LX58" s="44"/>
      <c r="LY58" s="44"/>
      <c r="LZ58">
        <v>1581</v>
      </c>
      <c r="MA58">
        <v>5214</v>
      </c>
      <c r="MB58">
        <v>4915</v>
      </c>
      <c r="MC58">
        <v>130</v>
      </c>
      <c r="MD58" s="26">
        <v>12.022558</v>
      </c>
      <c r="ME58" s="26">
        <v>10.714286</v>
      </c>
      <c r="MF58" s="26">
        <v>44.834657999999997</v>
      </c>
      <c r="MG58" s="26">
        <v>43.272171</v>
      </c>
      <c r="MH58" s="26">
        <v>1.834282</v>
      </c>
      <c r="MI58" s="26">
        <v>3.6053129999999998</v>
      </c>
      <c r="MJ58" s="26">
        <v>13.409234999999999</v>
      </c>
      <c r="MK58" s="26">
        <v>3.7950659999999998</v>
      </c>
      <c r="ML58" s="26">
        <v>1.7077799999999999</v>
      </c>
      <c r="MM58" s="26">
        <v>45.351043999999995</v>
      </c>
      <c r="MN58" s="26">
        <v>12.650221</v>
      </c>
      <c r="MO58" s="26">
        <v>-0.189003</v>
      </c>
      <c r="MP58" t="s">
        <v>1027</v>
      </c>
      <c r="MQ58">
        <v>1213</v>
      </c>
      <c r="MR58">
        <v>109</v>
      </c>
    </row>
    <row r="59" spans="1:356">
      <c r="A59" t="s">
        <v>233</v>
      </c>
      <c r="B59" t="s">
        <v>234</v>
      </c>
      <c r="C59">
        <v>59686</v>
      </c>
      <c r="D59">
        <v>72769</v>
      </c>
      <c r="E59">
        <v>83111</v>
      </c>
      <c r="F59">
        <f t="shared" si="2"/>
        <v>10342</v>
      </c>
      <c r="G59" s="26">
        <f t="shared" si="3"/>
        <v>14.212095810028998</v>
      </c>
      <c r="H59">
        <v>40112</v>
      </c>
      <c r="I59">
        <v>42999</v>
      </c>
      <c r="J59">
        <v>23803</v>
      </c>
      <c r="K59">
        <v>59308</v>
      </c>
      <c r="L59">
        <v>4143</v>
      </c>
      <c r="M59">
        <v>4552</v>
      </c>
      <c r="N59">
        <v>4165</v>
      </c>
      <c r="O59">
        <v>3579</v>
      </c>
      <c r="P59">
        <v>3019</v>
      </c>
      <c r="Q59">
        <v>2635</v>
      </c>
      <c r="R59">
        <v>2766</v>
      </c>
      <c r="S59">
        <v>2648</v>
      </c>
      <c r="T59">
        <v>2418</v>
      </c>
      <c r="U59">
        <v>2268</v>
      </c>
      <c r="V59">
        <v>1888</v>
      </c>
      <c r="W59">
        <v>1485</v>
      </c>
      <c r="X59">
        <v>1268</v>
      </c>
      <c r="Y59">
        <v>3276</v>
      </c>
      <c r="Z59">
        <v>2</v>
      </c>
      <c r="AA59">
        <v>4109</v>
      </c>
      <c r="AB59">
        <v>4445</v>
      </c>
      <c r="AC59">
        <v>4096</v>
      </c>
      <c r="AD59">
        <v>3721</v>
      </c>
      <c r="AE59">
        <v>3583</v>
      </c>
      <c r="AF59">
        <v>3483</v>
      </c>
      <c r="AG59">
        <v>3331</v>
      </c>
      <c r="AH59">
        <v>3070</v>
      </c>
      <c r="AI59">
        <v>2795</v>
      </c>
      <c r="AJ59">
        <v>2397</v>
      </c>
      <c r="AK59">
        <v>2003</v>
      </c>
      <c r="AL59">
        <v>1558</v>
      </c>
      <c r="AM59">
        <v>1268</v>
      </c>
      <c r="AN59">
        <v>3138</v>
      </c>
      <c r="AO59">
        <v>2</v>
      </c>
      <c r="AP59">
        <v>79091</v>
      </c>
      <c r="AQ59">
        <v>1028</v>
      </c>
      <c r="AR59">
        <v>230</v>
      </c>
      <c r="AS59">
        <v>2739</v>
      </c>
      <c r="AT59">
        <v>23</v>
      </c>
      <c r="AU59">
        <v>7822</v>
      </c>
      <c r="AV59">
        <v>3729</v>
      </c>
      <c r="AW59">
        <v>4093</v>
      </c>
      <c r="AX59">
        <v>4852</v>
      </c>
      <c r="AY59">
        <v>6759</v>
      </c>
      <c r="AZ59">
        <v>6568</v>
      </c>
      <c r="BA59">
        <v>191</v>
      </c>
      <c r="BB59">
        <v>155</v>
      </c>
      <c r="BC59">
        <v>160</v>
      </c>
      <c r="BD59">
        <v>416</v>
      </c>
      <c r="BE59">
        <v>411</v>
      </c>
      <c r="BF59">
        <v>383</v>
      </c>
      <c r="BG59">
        <v>433</v>
      </c>
      <c r="BH59">
        <v>364</v>
      </c>
      <c r="BI59">
        <v>378</v>
      </c>
      <c r="BJ59">
        <v>336</v>
      </c>
      <c r="BK59">
        <v>441</v>
      </c>
      <c r="BL59">
        <v>295</v>
      </c>
      <c r="BM59">
        <v>422</v>
      </c>
      <c r="BN59">
        <v>322</v>
      </c>
      <c r="BO59">
        <v>340</v>
      </c>
      <c r="BP59">
        <v>267</v>
      </c>
      <c r="BQ59">
        <v>291</v>
      </c>
      <c r="BR59">
        <v>218</v>
      </c>
      <c r="BS59">
        <v>236</v>
      </c>
      <c r="BT59">
        <v>191</v>
      </c>
      <c r="BU59">
        <v>203</v>
      </c>
      <c r="BV59">
        <v>146</v>
      </c>
      <c r="BW59">
        <v>179</v>
      </c>
      <c r="BX59">
        <v>143</v>
      </c>
      <c r="BY59">
        <v>181</v>
      </c>
      <c r="BZ59">
        <v>154</v>
      </c>
      <c r="CA59">
        <v>138</v>
      </c>
      <c r="CB59">
        <v>339</v>
      </c>
      <c r="CC59">
        <v>280</v>
      </c>
      <c r="CD59">
        <v>3626</v>
      </c>
      <c r="CE59">
        <v>3828</v>
      </c>
      <c r="CF59">
        <v>99</v>
      </c>
      <c r="CG59">
        <v>255</v>
      </c>
      <c r="CH59">
        <v>16668</v>
      </c>
      <c r="CI59">
        <v>4192</v>
      </c>
      <c r="CJ59">
        <v>69425</v>
      </c>
      <c r="CK59">
        <v>13554</v>
      </c>
      <c r="CL59">
        <v>1368</v>
      </c>
      <c r="CM59">
        <v>3412</v>
      </c>
      <c r="CN59">
        <v>4053</v>
      </c>
      <c r="CO59">
        <v>4852</v>
      </c>
      <c r="CP59">
        <v>3531</v>
      </c>
      <c r="CQ59">
        <v>3644</v>
      </c>
      <c r="CR59">
        <v>15924</v>
      </c>
      <c r="CS59">
        <v>33762</v>
      </c>
      <c r="CT59">
        <v>6742</v>
      </c>
      <c r="CU59">
        <v>2708</v>
      </c>
      <c r="CV59">
        <v>1226</v>
      </c>
      <c r="CW59">
        <v>1567</v>
      </c>
      <c r="CX59">
        <v>188</v>
      </c>
      <c r="CY59">
        <v>13608</v>
      </c>
      <c r="CZ59">
        <v>5752</v>
      </c>
      <c r="DA59">
        <v>119</v>
      </c>
      <c r="DB59">
        <v>1368</v>
      </c>
      <c r="DC59">
        <v>12</v>
      </c>
      <c r="DD59">
        <v>6231</v>
      </c>
      <c r="DE59">
        <v>8472</v>
      </c>
      <c r="DF59">
        <v>10269</v>
      </c>
      <c r="DG59">
        <v>34336</v>
      </c>
      <c r="DH59">
        <v>12748</v>
      </c>
      <c r="DI59">
        <v>0</v>
      </c>
      <c r="DJ59">
        <v>11055</v>
      </c>
      <c r="DK59">
        <v>0</v>
      </c>
      <c r="DL59">
        <v>0</v>
      </c>
      <c r="DM59">
        <v>316</v>
      </c>
      <c r="DN59">
        <v>54</v>
      </c>
      <c r="DO59">
        <v>30</v>
      </c>
      <c r="DP59">
        <v>31</v>
      </c>
      <c r="DQ59">
        <v>4</v>
      </c>
      <c r="DR59">
        <v>0</v>
      </c>
      <c r="DS59">
        <v>1</v>
      </c>
      <c r="DT59">
        <v>0</v>
      </c>
      <c r="DU59">
        <v>0</v>
      </c>
      <c r="DV59">
        <v>1617</v>
      </c>
      <c r="DW59">
        <v>1809</v>
      </c>
      <c r="DX59">
        <v>2293</v>
      </c>
      <c r="DY59">
        <v>2366</v>
      </c>
      <c r="DZ59">
        <v>1291</v>
      </c>
      <c r="EA59">
        <v>1018</v>
      </c>
      <c r="EB59">
        <v>479</v>
      </c>
      <c r="EC59">
        <v>440</v>
      </c>
      <c r="ED59">
        <v>468</v>
      </c>
      <c r="EE59">
        <v>518</v>
      </c>
      <c r="EF59">
        <v>725</v>
      </c>
      <c r="EG59">
        <v>818</v>
      </c>
      <c r="EH59">
        <v>397</v>
      </c>
      <c r="EI59">
        <v>365</v>
      </c>
      <c r="EJ59">
        <v>2657</v>
      </c>
      <c r="EK59">
        <v>3664</v>
      </c>
      <c r="EL59">
        <v>1822</v>
      </c>
      <c r="EM59">
        <v>730</v>
      </c>
      <c r="EN59">
        <v>784</v>
      </c>
      <c r="EO59">
        <v>1225</v>
      </c>
      <c r="EP59">
        <v>602</v>
      </c>
      <c r="EQ59">
        <v>25115</v>
      </c>
      <c r="ER59">
        <v>24821</v>
      </c>
      <c r="ES59">
        <v>294</v>
      </c>
      <c r="ET59">
        <v>4301</v>
      </c>
      <c r="EU59">
        <v>14274</v>
      </c>
      <c r="EV59">
        <v>14224</v>
      </c>
      <c r="EW59">
        <v>50</v>
      </c>
      <c r="EX59">
        <v>18334</v>
      </c>
      <c r="EY59" s="26">
        <v>61.347869000000003</v>
      </c>
      <c r="EZ59" s="26">
        <v>12.840436</v>
      </c>
      <c r="FA59" s="26">
        <v>10.442022</v>
      </c>
      <c r="FB59" s="26">
        <v>15.179385999999999</v>
      </c>
      <c r="FC59" s="26">
        <v>0.19028700000000001</v>
      </c>
      <c r="FD59">
        <v>3723</v>
      </c>
      <c r="FE59">
        <v>19753</v>
      </c>
      <c r="FF59">
        <v>1416</v>
      </c>
      <c r="FG59">
        <v>8968</v>
      </c>
      <c r="FH59">
        <v>7</v>
      </c>
      <c r="FI59">
        <v>3557</v>
      </c>
      <c r="FJ59">
        <v>1958</v>
      </c>
      <c r="FK59" s="26" t="s">
        <v>359</v>
      </c>
      <c r="FL59" s="26" t="s">
        <v>359</v>
      </c>
      <c r="FM59" s="26" t="s">
        <v>359</v>
      </c>
      <c r="FN59" s="26" t="s">
        <v>359</v>
      </c>
      <c r="FO59" s="28">
        <v>31250</v>
      </c>
      <c r="FP59" s="28">
        <v>8855</v>
      </c>
      <c r="FQ59">
        <v>1220</v>
      </c>
      <c r="FR59">
        <v>572</v>
      </c>
      <c r="FS59">
        <v>79</v>
      </c>
      <c r="FT59">
        <v>81</v>
      </c>
      <c r="FU59">
        <v>29029</v>
      </c>
      <c r="FV59">
        <v>22</v>
      </c>
      <c r="FW59">
        <v>96</v>
      </c>
      <c r="FX59">
        <v>7</v>
      </c>
      <c r="FY59">
        <v>34639</v>
      </c>
      <c r="FZ59">
        <v>8349</v>
      </c>
      <c r="GA59">
        <v>1036</v>
      </c>
      <c r="GB59">
        <v>675</v>
      </c>
      <c r="GC59">
        <v>93</v>
      </c>
      <c r="GD59">
        <v>51</v>
      </c>
      <c r="GE59">
        <v>32490</v>
      </c>
      <c r="GF59">
        <v>19</v>
      </c>
      <c r="GG59">
        <v>64</v>
      </c>
      <c r="GH59">
        <v>11</v>
      </c>
      <c r="GI59">
        <v>3162</v>
      </c>
      <c r="GJ59">
        <v>3789</v>
      </c>
      <c r="GK59">
        <v>3437</v>
      </c>
      <c r="GL59">
        <v>2751</v>
      </c>
      <c r="GM59">
        <v>2166</v>
      </c>
      <c r="GN59">
        <v>1998</v>
      </c>
      <c r="GO59">
        <v>2156</v>
      </c>
      <c r="GP59">
        <v>2067</v>
      </c>
      <c r="GQ59">
        <v>1875</v>
      </c>
      <c r="GR59">
        <v>1762</v>
      </c>
      <c r="GS59">
        <v>1424</v>
      </c>
      <c r="GT59">
        <v>1112</v>
      </c>
      <c r="GU59">
        <v>956</v>
      </c>
      <c r="GV59">
        <v>833</v>
      </c>
      <c r="GW59">
        <v>612</v>
      </c>
      <c r="GX59">
        <v>529</v>
      </c>
      <c r="GY59">
        <v>318</v>
      </c>
      <c r="GZ59">
        <v>303</v>
      </c>
      <c r="HA59">
        <v>3182</v>
      </c>
      <c r="HB59">
        <v>3644</v>
      </c>
      <c r="HC59">
        <v>3318</v>
      </c>
      <c r="HD59">
        <v>2830</v>
      </c>
      <c r="HE59">
        <v>2843</v>
      </c>
      <c r="HF59">
        <v>2810</v>
      </c>
      <c r="HG59">
        <v>2769</v>
      </c>
      <c r="HH59">
        <v>2548</v>
      </c>
      <c r="HI59">
        <v>2284</v>
      </c>
      <c r="HJ59">
        <v>1955</v>
      </c>
      <c r="HK59">
        <v>1625</v>
      </c>
      <c r="HL59">
        <v>1233</v>
      </c>
      <c r="HM59">
        <v>1018</v>
      </c>
      <c r="HN59">
        <v>950</v>
      </c>
      <c r="HO59">
        <v>598</v>
      </c>
      <c r="HP59">
        <v>472</v>
      </c>
      <c r="HQ59">
        <v>271</v>
      </c>
      <c r="HR59">
        <v>289</v>
      </c>
      <c r="HS59">
        <v>16693</v>
      </c>
      <c r="HT59">
        <v>4</v>
      </c>
      <c r="HU59">
        <v>8</v>
      </c>
      <c r="HV59">
        <v>0</v>
      </c>
      <c r="HW59">
        <v>24</v>
      </c>
      <c r="HX59">
        <v>0</v>
      </c>
      <c r="HY59">
        <v>1</v>
      </c>
      <c r="HZ59">
        <v>7</v>
      </c>
      <c r="IA59">
        <v>1362</v>
      </c>
      <c r="IB59">
        <v>3411</v>
      </c>
      <c r="IC59">
        <v>4046</v>
      </c>
      <c r="ID59">
        <v>4850</v>
      </c>
      <c r="IE59">
        <v>3527</v>
      </c>
      <c r="IF59">
        <v>1841</v>
      </c>
      <c r="IG59">
        <v>884</v>
      </c>
      <c r="IH59">
        <v>458</v>
      </c>
      <c r="II59">
        <v>456</v>
      </c>
      <c r="IJ59">
        <v>806</v>
      </c>
      <c r="IK59">
        <v>3650</v>
      </c>
      <c r="IL59">
        <v>5767</v>
      </c>
      <c r="IM59">
        <v>5673</v>
      </c>
      <c r="IN59">
        <v>3271</v>
      </c>
      <c r="IO59">
        <v>1166</v>
      </c>
      <c r="IP59">
        <v>305</v>
      </c>
      <c r="IQ59">
        <v>114</v>
      </c>
      <c r="IR59">
        <v>80</v>
      </c>
      <c r="IS59">
        <v>7312</v>
      </c>
      <c r="IT59">
        <v>8578</v>
      </c>
      <c r="IU59">
        <v>3558</v>
      </c>
      <c r="IV59">
        <v>1206</v>
      </c>
      <c r="IW59">
        <v>178</v>
      </c>
      <c r="IX59">
        <v>2178</v>
      </c>
      <c r="IY59">
        <v>4023</v>
      </c>
      <c r="IZ59">
        <v>46</v>
      </c>
      <c r="JA59">
        <v>158</v>
      </c>
      <c r="JB59">
        <v>240</v>
      </c>
      <c r="JC59">
        <v>3504</v>
      </c>
      <c r="JD59">
        <v>16820</v>
      </c>
      <c r="JE59">
        <v>4012</v>
      </c>
      <c r="JF59">
        <v>3</v>
      </c>
      <c r="JH59" s="28">
        <v>16408.128223099171</v>
      </c>
      <c r="JI59" s="28">
        <v>302.44336955058156</v>
      </c>
      <c r="JJ59">
        <v>1261</v>
      </c>
      <c r="JK59">
        <v>17747</v>
      </c>
      <c r="JL59">
        <v>1823</v>
      </c>
      <c r="JM59">
        <v>4</v>
      </c>
      <c r="JN59">
        <v>14436</v>
      </c>
      <c r="JO59">
        <v>10701</v>
      </c>
      <c r="JP59">
        <v>6146</v>
      </c>
      <c r="JQ59">
        <v>13606</v>
      </c>
      <c r="JR59">
        <v>17381</v>
      </c>
      <c r="JS59">
        <v>1367</v>
      </c>
      <c r="JT59">
        <v>1626</v>
      </c>
      <c r="JU59">
        <v>14951</v>
      </c>
      <c r="JV59">
        <v>2944</v>
      </c>
      <c r="JW59" s="28"/>
      <c r="JX59" s="28"/>
      <c r="JY59" s="28"/>
      <c r="JZ59" s="28"/>
      <c r="KA59" s="28">
        <v>20563.999988399999</v>
      </c>
      <c r="KB59">
        <v>68100</v>
      </c>
      <c r="KC59">
        <v>5</v>
      </c>
      <c r="KD59">
        <v>20</v>
      </c>
      <c r="KE59">
        <v>0</v>
      </c>
      <c r="KF59">
        <v>89</v>
      </c>
      <c r="KG59">
        <v>0</v>
      </c>
      <c r="KH59">
        <v>3</v>
      </c>
      <c r="KI59">
        <v>33</v>
      </c>
      <c r="KJ59">
        <v>5269</v>
      </c>
      <c r="KK59">
        <v>70606</v>
      </c>
      <c r="KL59">
        <v>7004</v>
      </c>
      <c r="KM59">
        <v>8</v>
      </c>
      <c r="KT59">
        <v>10895</v>
      </c>
      <c r="KU59">
        <v>10275</v>
      </c>
      <c r="KV59">
        <v>9292</v>
      </c>
      <c r="KW59">
        <v>921</v>
      </c>
      <c r="KX59">
        <v>322</v>
      </c>
      <c r="KZ59">
        <v>8947</v>
      </c>
      <c r="LA59">
        <v>778</v>
      </c>
      <c r="LB59">
        <v>218</v>
      </c>
      <c r="LD59">
        <v>6392</v>
      </c>
      <c r="LE59">
        <v>6334</v>
      </c>
      <c r="LF59">
        <v>2914</v>
      </c>
      <c r="LG59">
        <v>5046</v>
      </c>
      <c r="LH59">
        <v>57597</v>
      </c>
      <c r="LI59">
        <v>52</v>
      </c>
      <c r="LJ59">
        <v>8022</v>
      </c>
      <c r="LK59">
        <v>748</v>
      </c>
      <c r="LL59">
        <v>5963</v>
      </c>
      <c r="LM59">
        <v>5</v>
      </c>
      <c r="LN59">
        <v>2086</v>
      </c>
      <c r="LO59">
        <v>811</v>
      </c>
      <c r="LP59">
        <v>45</v>
      </c>
      <c r="LQ59">
        <v>8750</v>
      </c>
      <c r="LR59">
        <v>711</v>
      </c>
      <c r="LS59">
        <v>7090</v>
      </c>
      <c r="LT59">
        <v>7</v>
      </c>
      <c r="LU59">
        <v>1671</v>
      </c>
      <c r="LV59">
        <v>617</v>
      </c>
      <c r="LW59" s="44"/>
      <c r="LX59" s="44"/>
      <c r="LY59" s="44"/>
      <c r="LZ59">
        <v>20835</v>
      </c>
      <c r="MA59">
        <v>82887</v>
      </c>
      <c r="MB59">
        <v>76917</v>
      </c>
      <c r="MC59">
        <v>6848</v>
      </c>
      <c r="MD59" s="26">
        <v>13.820164</v>
      </c>
      <c r="ME59" s="26">
        <v>9.4943239999999989</v>
      </c>
      <c r="MF59" s="26">
        <v>63.416497</v>
      </c>
      <c r="MG59" s="26">
        <v>20.700028</v>
      </c>
      <c r="MH59" s="26">
        <v>6.0523159999999994</v>
      </c>
      <c r="MI59" s="26">
        <v>1.5454759999999998</v>
      </c>
      <c r="MJ59" s="26">
        <v>16.361891</v>
      </c>
      <c r="MK59" s="26">
        <v>19.256059999999998</v>
      </c>
      <c r="ML59" s="26">
        <v>1.3006959999999999</v>
      </c>
      <c r="MM59" s="26">
        <v>48.639308999999997</v>
      </c>
      <c r="MN59" s="26">
        <v>30.712743</v>
      </c>
      <c r="MO59" s="26">
        <v>0.47326699999999999</v>
      </c>
      <c r="MP59" t="s">
        <v>1029</v>
      </c>
      <c r="MQ59">
        <v>617</v>
      </c>
      <c r="MR59">
        <v>62</v>
      </c>
    </row>
    <row r="60" spans="1:356">
      <c r="A60" t="s">
        <v>135</v>
      </c>
      <c r="B60" t="s">
        <v>136</v>
      </c>
      <c r="C60">
        <v>16538</v>
      </c>
      <c r="D60">
        <v>20349</v>
      </c>
      <c r="E60">
        <v>31259</v>
      </c>
      <c r="F60">
        <f t="shared" si="2"/>
        <v>10910</v>
      </c>
      <c r="G60" s="26">
        <f t="shared" si="3"/>
        <v>53.614428227431318</v>
      </c>
      <c r="H60">
        <v>15204</v>
      </c>
      <c r="I60">
        <v>16055</v>
      </c>
      <c r="J60">
        <v>3954</v>
      </c>
      <c r="K60">
        <v>27305</v>
      </c>
      <c r="L60">
        <v>2470</v>
      </c>
      <c r="M60">
        <v>2451</v>
      </c>
      <c r="N60">
        <v>2109</v>
      </c>
      <c r="O60">
        <v>1657</v>
      </c>
      <c r="P60">
        <v>1275</v>
      </c>
      <c r="Q60">
        <v>1042</v>
      </c>
      <c r="R60">
        <v>880</v>
      </c>
      <c r="S60">
        <v>792</v>
      </c>
      <c r="T60">
        <v>668</v>
      </c>
      <c r="U60">
        <v>493</v>
      </c>
      <c r="V60">
        <v>353</v>
      </c>
      <c r="W60">
        <v>293</v>
      </c>
      <c r="X60">
        <v>228</v>
      </c>
      <c r="Y60">
        <v>491</v>
      </c>
      <c r="Z60">
        <v>2</v>
      </c>
      <c r="AA60">
        <v>2550</v>
      </c>
      <c r="AB60">
        <v>2565</v>
      </c>
      <c r="AC60">
        <v>1998</v>
      </c>
      <c r="AD60">
        <v>1695</v>
      </c>
      <c r="AE60">
        <v>1408</v>
      </c>
      <c r="AF60">
        <v>1173</v>
      </c>
      <c r="AG60">
        <v>1028</v>
      </c>
      <c r="AH60">
        <v>878</v>
      </c>
      <c r="AI60">
        <v>670</v>
      </c>
      <c r="AJ60">
        <v>529</v>
      </c>
      <c r="AK60">
        <v>390</v>
      </c>
      <c r="AL60">
        <v>334</v>
      </c>
      <c r="AM60">
        <v>285</v>
      </c>
      <c r="AN60">
        <v>549</v>
      </c>
      <c r="AO60">
        <v>3</v>
      </c>
      <c r="AP60">
        <v>31221</v>
      </c>
      <c r="AQ60">
        <v>33</v>
      </c>
      <c r="AR60">
        <v>0</v>
      </c>
      <c r="AS60">
        <v>0</v>
      </c>
      <c r="AT60">
        <v>5</v>
      </c>
      <c r="AU60">
        <v>27767</v>
      </c>
      <c r="AV60">
        <v>13526</v>
      </c>
      <c r="AW60">
        <v>14241</v>
      </c>
      <c r="AX60">
        <v>10426</v>
      </c>
      <c r="AY60">
        <v>17213</v>
      </c>
      <c r="AZ60">
        <v>17213</v>
      </c>
      <c r="BA60">
        <v>0</v>
      </c>
      <c r="BB60">
        <v>967</v>
      </c>
      <c r="BC60">
        <v>987</v>
      </c>
      <c r="BD60">
        <v>2407</v>
      </c>
      <c r="BE60">
        <v>2507</v>
      </c>
      <c r="BF60">
        <v>2074</v>
      </c>
      <c r="BG60">
        <v>1967</v>
      </c>
      <c r="BH60">
        <v>1630</v>
      </c>
      <c r="BI60">
        <v>1658</v>
      </c>
      <c r="BJ60">
        <v>1261</v>
      </c>
      <c r="BK60">
        <v>1375</v>
      </c>
      <c r="BL60">
        <v>1027</v>
      </c>
      <c r="BM60">
        <v>1147</v>
      </c>
      <c r="BN60">
        <v>871</v>
      </c>
      <c r="BO60">
        <v>998</v>
      </c>
      <c r="BP60">
        <v>786</v>
      </c>
      <c r="BQ60">
        <v>872</v>
      </c>
      <c r="BR60">
        <v>664</v>
      </c>
      <c r="BS60">
        <v>659</v>
      </c>
      <c r="BT60">
        <v>490</v>
      </c>
      <c r="BU60">
        <v>524</v>
      </c>
      <c r="BV60">
        <v>347</v>
      </c>
      <c r="BW60">
        <v>389</v>
      </c>
      <c r="BX60">
        <v>291</v>
      </c>
      <c r="BY60">
        <v>334</v>
      </c>
      <c r="BZ60">
        <v>227</v>
      </c>
      <c r="CA60">
        <v>282</v>
      </c>
      <c r="CB60">
        <v>484</v>
      </c>
      <c r="CC60">
        <v>542</v>
      </c>
      <c r="CD60">
        <v>7974</v>
      </c>
      <c r="CE60">
        <v>6138</v>
      </c>
      <c r="CF60">
        <v>5184</v>
      </c>
      <c r="CG60">
        <v>7458</v>
      </c>
      <c r="CH60">
        <v>5234</v>
      </c>
      <c r="CI60">
        <v>752</v>
      </c>
      <c r="CJ60">
        <v>28371</v>
      </c>
      <c r="CK60">
        <v>2745</v>
      </c>
      <c r="CL60">
        <v>258</v>
      </c>
      <c r="CM60">
        <v>687</v>
      </c>
      <c r="CN60">
        <v>832</v>
      </c>
      <c r="CO60">
        <v>934</v>
      </c>
      <c r="CP60">
        <v>843</v>
      </c>
      <c r="CQ60">
        <v>2432</v>
      </c>
      <c r="CR60">
        <v>5079</v>
      </c>
      <c r="CS60">
        <v>18341</v>
      </c>
      <c r="CT60">
        <v>761</v>
      </c>
      <c r="CU60">
        <v>390</v>
      </c>
      <c r="CV60">
        <v>239</v>
      </c>
      <c r="CW60">
        <v>300</v>
      </c>
      <c r="CX60">
        <v>16</v>
      </c>
      <c r="CY60">
        <v>4826</v>
      </c>
      <c r="CZ60">
        <v>888</v>
      </c>
      <c r="DA60">
        <v>12</v>
      </c>
      <c r="DB60">
        <v>258</v>
      </c>
      <c r="DC60">
        <v>1</v>
      </c>
      <c r="DD60">
        <v>365</v>
      </c>
      <c r="DE60">
        <v>4145</v>
      </c>
      <c r="DF60">
        <v>8176</v>
      </c>
      <c r="DG60">
        <v>14619</v>
      </c>
      <c r="DH60">
        <v>3954</v>
      </c>
      <c r="DI60">
        <v>0</v>
      </c>
      <c r="DJ60">
        <v>0</v>
      </c>
      <c r="DK60">
        <v>0</v>
      </c>
      <c r="DL60">
        <v>0</v>
      </c>
      <c r="DM60">
        <v>8</v>
      </c>
      <c r="DN60">
        <v>27</v>
      </c>
      <c r="DO60">
        <v>23</v>
      </c>
      <c r="DP60">
        <v>19</v>
      </c>
      <c r="DQ60">
        <v>1</v>
      </c>
      <c r="DR60">
        <v>0</v>
      </c>
      <c r="DS60">
        <v>0</v>
      </c>
      <c r="DT60">
        <v>0</v>
      </c>
      <c r="DU60">
        <v>0</v>
      </c>
      <c r="DV60">
        <v>289</v>
      </c>
      <c r="DW60">
        <v>347</v>
      </c>
      <c r="DX60">
        <v>550</v>
      </c>
      <c r="DY60">
        <v>735</v>
      </c>
      <c r="DZ60">
        <v>312</v>
      </c>
      <c r="EA60">
        <v>341</v>
      </c>
      <c r="EB60">
        <v>176</v>
      </c>
      <c r="EC60">
        <v>159</v>
      </c>
      <c r="ED60">
        <v>139</v>
      </c>
      <c r="EE60">
        <v>144</v>
      </c>
      <c r="EF60">
        <v>211</v>
      </c>
      <c r="EG60">
        <v>280</v>
      </c>
      <c r="EH60">
        <v>92</v>
      </c>
      <c r="EI60">
        <v>74</v>
      </c>
      <c r="EJ60">
        <v>548</v>
      </c>
      <c r="EK60">
        <v>1068</v>
      </c>
      <c r="EL60">
        <v>558</v>
      </c>
      <c r="EM60">
        <v>278</v>
      </c>
      <c r="EN60">
        <v>240</v>
      </c>
      <c r="EO60">
        <v>425</v>
      </c>
      <c r="EP60">
        <v>139</v>
      </c>
      <c r="EQ60">
        <v>6821</v>
      </c>
      <c r="ER60">
        <v>6508</v>
      </c>
      <c r="ES60">
        <v>313</v>
      </c>
      <c r="ET60">
        <v>2490</v>
      </c>
      <c r="EU60">
        <v>2691</v>
      </c>
      <c r="EV60">
        <v>2643</v>
      </c>
      <c r="EW60">
        <v>48</v>
      </c>
      <c r="EX60">
        <v>7422</v>
      </c>
      <c r="EY60" s="26">
        <v>62.290323000000001</v>
      </c>
      <c r="EZ60" s="26">
        <v>24.215053999999999</v>
      </c>
      <c r="FA60" s="26">
        <v>6.1075270000000002</v>
      </c>
      <c r="FB60" s="26">
        <v>7.1827959999999997</v>
      </c>
      <c r="FC60" s="26">
        <v>0.20430100000000001</v>
      </c>
      <c r="FD60">
        <v>912</v>
      </c>
      <c r="FE60">
        <v>4761</v>
      </c>
      <c r="FF60">
        <v>246</v>
      </c>
      <c r="FG60">
        <v>2311</v>
      </c>
      <c r="FH60">
        <v>0</v>
      </c>
      <c r="FI60">
        <v>1048</v>
      </c>
      <c r="FJ60">
        <v>231</v>
      </c>
      <c r="FK60" s="26" t="s">
        <v>359</v>
      </c>
      <c r="FL60" s="26" t="s">
        <v>359</v>
      </c>
      <c r="FM60" s="26" t="s">
        <v>359</v>
      </c>
      <c r="FN60" s="26" t="s">
        <v>359</v>
      </c>
      <c r="FO60" s="28">
        <v>12370</v>
      </c>
      <c r="FP60" s="28">
        <v>2832</v>
      </c>
      <c r="FQ60">
        <v>461</v>
      </c>
      <c r="FR60">
        <v>79</v>
      </c>
      <c r="FS60">
        <v>4</v>
      </c>
      <c r="FT60">
        <v>13</v>
      </c>
      <c r="FU60">
        <v>10386</v>
      </c>
      <c r="FV60">
        <v>34</v>
      </c>
      <c r="FW60">
        <v>39</v>
      </c>
      <c r="FX60">
        <v>2</v>
      </c>
      <c r="FY60">
        <v>13201</v>
      </c>
      <c r="FZ60">
        <v>2850</v>
      </c>
      <c r="GA60">
        <v>498</v>
      </c>
      <c r="GB60">
        <v>63</v>
      </c>
      <c r="GC60">
        <v>1</v>
      </c>
      <c r="GD60">
        <v>1</v>
      </c>
      <c r="GE60">
        <v>11150</v>
      </c>
      <c r="GF60">
        <v>36</v>
      </c>
      <c r="GG60">
        <v>40</v>
      </c>
      <c r="GH60">
        <v>4</v>
      </c>
      <c r="GI60">
        <v>1708</v>
      </c>
      <c r="GJ60">
        <v>2097</v>
      </c>
      <c r="GK60">
        <v>1840</v>
      </c>
      <c r="GL60">
        <v>1372</v>
      </c>
      <c r="GM60">
        <v>971</v>
      </c>
      <c r="GN60">
        <v>832</v>
      </c>
      <c r="GO60">
        <v>739</v>
      </c>
      <c r="GP60">
        <v>678</v>
      </c>
      <c r="GQ60">
        <v>570</v>
      </c>
      <c r="GR60">
        <v>423</v>
      </c>
      <c r="GS60">
        <v>297</v>
      </c>
      <c r="GT60">
        <v>249</v>
      </c>
      <c r="GU60">
        <v>184</v>
      </c>
      <c r="GV60">
        <v>153</v>
      </c>
      <c r="GW60">
        <v>105</v>
      </c>
      <c r="GX60">
        <v>72</v>
      </c>
      <c r="GY60">
        <v>44</v>
      </c>
      <c r="GZ60">
        <v>36</v>
      </c>
      <c r="HA60">
        <v>1754</v>
      </c>
      <c r="HB60">
        <v>2251</v>
      </c>
      <c r="HC60">
        <v>1733</v>
      </c>
      <c r="HD60">
        <v>1314</v>
      </c>
      <c r="HE60">
        <v>1111</v>
      </c>
      <c r="HF60">
        <v>980</v>
      </c>
      <c r="HG60">
        <v>880</v>
      </c>
      <c r="HH60">
        <v>785</v>
      </c>
      <c r="HI60">
        <v>592</v>
      </c>
      <c r="HJ60">
        <v>456</v>
      </c>
      <c r="HK60">
        <v>333</v>
      </c>
      <c r="HL60">
        <v>286</v>
      </c>
      <c r="HM60">
        <v>252</v>
      </c>
      <c r="HN60">
        <v>194</v>
      </c>
      <c r="HO60">
        <v>104</v>
      </c>
      <c r="HP60">
        <v>77</v>
      </c>
      <c r="HQ60">
        <v>46</v>
      </c>
      <c r="HR60">
        <v>53</v>
      </c>
      <c r="HS60">
        <v>5657</v>
      </c>
      <c r="HT60">
        <v>0</v>
      </c>
      <c r="HU60">
        <v>0</v>
      </c>
      <c r="HV60">
        <v>0</v>
      </c>
      <c r="HW60">
        <v>17</v>
      </c>
      <c r="HX60">
        <v>0</v>
      </c>
      <c r="HY60">
        <v>1</v>
      </c>
      <c r="HZ60">
        <v>0</v>
      </c>
      <c r="IA60">
        <v>257</v>
      </c>
      <c r="IB60">
        <v>685</v>
      </c>
      <c r="IC60">
        <v>830</v>
      </c>
      <c r="ID60">
        <v>933</v>
      </c>
      <c r="IE60">
        <v>839</v>
      </c>
      <c r="IF60">
        <v>712</v>
      </c>
      <c r="IG60">
        <v>542</v>
      </c>
      <c r="IH60">
        <v>462</v>
      </c>
      <c r="II60">
        <v>708</v>
      </c>
      <c r="IJ60">
        <v>541</v>
      </c>
      <c r="IK60">
        <v>2250</v>
      </c>
      <c r="IL60">
        <v>1994</v>
      </c>
      <c r="IM60">
        <v>810</v>
      </c>
      <c r="IN60">
        <v>257</v>
      </c>
      <c r="IO60">
        <v>80</v>
      </c>
      <c r="IP60">
        <v>22</v>
      </c>
      <c r="IQ60">
        <v>5</v>
      </c>
      <c r="IR60">
        <v>7</v>
      </c>
      <c r="IS60">
        <v>2949</v>
      </c>
      <c r="IT60">
        <v>2166</v>
      </c>
      <c r="IU60">
        <v>594</v>
      </c>
      <c r="IV60">
        <v>199</v>
      </c>
      <c r="IW60">
        <v>58</v>
      </c>
      <c r="IX60">
        <v>334</v>
      </c>
      <c r="IY60">
        <v>1761</v>
      </c>
      <c r="IZ60">
        <v>61</v>
      </c>
      <c r="JA60">
        <v>18</v>
      </c>
      <c r="JB60">
        <v>4</v>
      </c>
      <c r="JC60">
        <v>574</v>
      </c>
      <c r="JD60">
        <v>4921</v>
      </c>
      <c r="JE60">
        <v>1045</v>
      </c>
      <c r="JF60">
        <v>2</v>
      </c>
      <c r="JH60" s="28">
        <v>3325.1519358503729</v>
      </c>
      <c r="JI60" s="28">
        <v>221.00095183395771</v>
      </c>
      <c r="JJ60">
        <v>395</v>
      </c>
      <c r="JK60">
        <v>5502</v>
      </c>
      <c r="JL60">
        <v>70</v>
      </c>
      <c r="JM60">
        <v>1</v>
      </c>
      <c r="JN60">
        <v>690</v>
      </c>
      <c r="JO60">
        <v>253</v>
      </c>
      <c r="JP60">
        <v>500</v>
      </c>
      <c r="JQ60">
        <v>2147</v>
      </c>
      <c r="JR60">
        <v>2912</v>
      </c>
      <c r="JS60">
        <v>136</v>
      </c>
      <c r="JT60">
        <v>174</v>
      </c>
      <c r="JU60">
        <v>3723</v>
      </c>
      <c r="JV60">
        <v>178</v>
      </c>
      <c r="JW60" s="28"/>
      <c r="JX60" s="28"/>
      <c r="JY60" s="28"/>
      <c r="JZ60" s="28"/>
      <c r="KA60" s="28">
        <v>5902.0000073600004</v>
      </c>
      <c r="KB60">
        <v>29559</v>
      </c>
      <c r="KC60">
        <v>0</v>
      </c>
      <c r="KD60">
        <v>0</v>
      </c>
      <c r="KE60">
        <v>0</v>
      </c>
      <c r="KF60">
        <v>83</v>
      </c>
      <c r="KG60">
        <v>0</v>
      </c>
      <c r="KH60">
        <v>8</v>
      </c>
      <c r="KI60">
        <v>0</v>
      </c>
      <c r="KJ60">
        <v>1901</v>
      </c>
      <c r="KK60">
        <v>28802</v>
      </c>
      <c r="KL60">
        <v>317</v>
      </c>
      <c r="KM60">
        <v>5</v>
      </c>
      <c r="KT60">
        <v>5307</v>
      </c>
      <c r="KU60">
        <v>5029</v>
      </c>
      <c r="KV60">
        <v>4725</v>
      </c>
      <c r="KW60">
        <v>307</v>
      </c>
      <c r="KX60">
        <v>58</v>
      </c>
      <c r="KZ60">
        <v>4578</v>
      </c>
      <c r="LA60">
        <v>213</v>
      </c>
      <c r="LB60">
        <v>32</v>
      </c>
      <c r="LD60">
        <v>3012</v>
      </c>
      <c r="LE60">
        <v>2988</v>
      </c>
      <c r="LF60">
        <v>1029</v>
      </c>
      <c r="LG60">
        <v>1940</v>
      </c>
      <c r="LH60">
        <v>17111</v>
      </c>
      <c r="LI60">
        <v>13</v>
      </c>
      <c r="LJ60">
        <v>2476</v>
      </c>
      <c r="LK60">
        <v>310</v>
      </c>
      <c r="LL60">
        <v>1942</v>
      </c>
      <c r="LM60">
        <v>0</v>
      </c>
      <c r="LN60">
        <v>878</v>
      </c>
      <c r="LO60">
        <v>138</v>
      </c>
      <c r="LP60">
        <v>14</v>
      </c>
      <c r="LQ60">
        <v>2895</v>
      </c>
      <c r="LR60">
        <v>224</v>
      </c>
      <c r="LS60">
        <v>2092</v>
      </c>
      <c r="LT60">
        <v>1</v>
      </c>
      <c r="LU60">
        <v>541</v>
      </c>
      <c r="LV60">
        <v>83</v>
      </c>
      <c r="LW60" s="44"/>
      <c r="LX60" s="44"/>
      <c r="LY60" s="44"/>
      <c r="LZ60">
        <v>5968</v>
      </c>
      <c r="MA60">
        <v>31025</v>
      </c>
      <c r="MB60">
        <v>23889</v>
      </c>
      <c r="MC60">
        <v>21340</v>
      </c>
      <c r="MD60" s="26">
        <v>17.351410999999999</v>
      </c>
      <c r="ME60" s="26">
        <v>11.009739999999999</v>
      </c>
      <c r="MF60" s="26">
        <v>62.895213999999996</v>
      </c>
      <c r="MG60" s="26">
        <v>18.177164999999999</v>
      </c>
      <c r="MH60" s="26">
        <v>6.618633</v>
      </c>
      <c r="MI60" s="26">
        <v>1.172922</v>
      </c>
      <c r="MJ60" s="26">
        <v>5.5630030000000001</v>
      </c>
      <c r="MK60" s="26">
        <v>17.510054</v>
      </c>
      <c r="ML60" s="26">
        <v>1.105898</v>
      </c>
      <c r="MM60" s="26">
        <v>95.760723999999996</v>
      </c>
      <c r="MN60" s="26">
        <v>88.438338000000002</v>
      </c>
      <c r="MO60" s="26">
        <v>1.2556669999999999</v>
      </c>
      <c r="MP60" t="s">
        <v>1028</v>
      </c>
      <c r="MQ60">
        <v>293</v>
      </c>
      <c r="MR60">
        <v>33</v>
      </c>
    </row>
    <row r="61" spans="1:356">
      <c r="A61" t="s">
        <v>141</v>
      </c>
      <c r="B61" t="s">
        <v>142</v>
      </c>
      <c r="C61">
        <v>86413</v>
      </c>
      <c r="D61">
        <v>111484</v>
      </c>
      <c r="E61">
        <v>141027</v>
      </c>
      <c r="F61">
        <f t="shared" si="2"/>
        <v>29543</v>
      </c>
      <c r="G61" s="26">
        <f t="shared" si="3"/>
        <v>26.499766782677341</v>
      </c>
      <c r="H61">
        <v>68891</v>
      </c>
      <c r="I61">
        <v>72136</v>
      </c>
      <c r="J61">
        <v>33196</v>
      </c>
      <c r="K61">
        <v>107831</v>
      </c>
      <c r="L61">
        <v>7768</v>
      </c>
      <c r="M61">
        <v>8412</v>
      </c>
      <c r="N61">
        <v>7872</v>
      </c>
      <c r="O61">
        <v>7210</v>
      </c>
      <c r="P61">
        <v>6237</v>
      </c>
      <c r="Q61">
        <v>5229</v>
      </c>
      <c r="R61">
        <v>4904</v>
      </c>
      <c r="S61">
        <v>4198</v>
      </c>
      <c r="T61">
        <v>3415</v>
      </c>
      <c r="U61">
        <v>2883</v>
      </c>
      <c r="V61">
        <v>2390</v>
      </c>
      <c r="W61">
        <v>1901</v>
      </c>
      <c r="X61">
        <v>1435</v>
      </c>
      <c r="Y61">
        <v>3761</v>
      </c>
      <c r="Z61">
        <v>1276</v>
      </c>
      <c r="AA61">
        <v>7517</v>
      </c>
      <c r="AB61">
        <v>8176</v>
      </c>
      <c r="AC61">
        <v>7977</v>
      </c>
      <c r="AD61">
        <v>7596</v>
      </c>
      <c r="AE61">
        <v>7084</v>
      </c>
      <c r="AF61">
        <v>6090</v>
      </c>
      <c r="AG61">
        <v>5533</v>
      </c>
      <c r="AH61">
        <v>4757</v>
      </c>
      <c r="AI61">
        <v>3711</v>
      </c>
      <c r="AJ61">
        <v>3044</v>
      </c>
      <c r="AK61">
        <v>2528</v>
      </c>
      <c r="AL61">
        <v>1964</v>
      </c>
      <c r="AM61">
        <v>1425</v>
      </c>
      <c r="AN61">
        <v>3455</v>
      </c>
      <c r="AO61">
        <v>1279</v>
      </c>
      <c r="AP61">
        <v>136900</v>
      </c>
      <c r="AQ61">
        <v>810</v>
      </c>
      <c r="AR61">
        <v>54</v>
      </c>
      <c r="AS61">
        <v>668</v>
      </c>
      <c r="AT61">
        <v>2595</v>
      </c>
      <c r="AU61">
        <v>61216</v>
      </c>
      <c r="AV61">
        <v>29876</v>
      </c>
      <c r="AW61">
        <v>31340</v>
      </c>
      <c r="AX61">
        <v>34937</v>
      </c>
      <c r="AY61">
        <v>49571</v>
      </c>
      <c r="AZ61">
        <v>43876</v>
      </c>
      <c r="BA61">
        <v>5695</v>
      </c>
      <c r="BB61">
        <v>1256</v>
      </c>
      <c r="BC61">
        <v>1268</v>
      </c>
      <c r="BD61">
        <v>3572</v>
      </c>
      <c r="BE61">
        <v>3480</v>
      </c>
      <c r="BF61">
        <v>3445</v>
      </c>
      <c r="BG61">
        <v>3575</v>
      </c>
      <c r="BH61">
        <v>3308</v>
      </c>
      <c r="BI61">
        <v>3537</v>
      </c>
      <c r="BJ61">
        <v>2977</v>
      </c>
      <c r="BK61">
        <v>3388</v>
      </c>
      <c r="BL61">
        <v>2514</v>
      </c>
      <c r="BM61">
        <v>2908</v>
      </c>
      <c r="BN61">
        <v>2379</v>
      </c>
      <c r="BO61">
        <v>2641</v>
      </c>
      <c r="BP61">
        <v>2071</v>
      </c>
      <c r="BQ61">
        <v>2298</v>
      </c>
      <c r="BR61">
        <v>1722</v>
      </c>
      <c r="BS61">
        <v>1831</v>
      </c>
      <c r="BT61">
        <v>1502</v>
      </c>
      <c r="BU61">
        <v>1476</v>
      </c>
      <c r="BV61">
        <v>1242</v>
      </c>
      <c r="BW61">
        <v>1292</v>
      </c>
      <c r="BX61">
        <v>985</v>
      </c>
      <c r="BY61">
        <v>1064</v>
      </c>
      <c r="BZ61">
        <v>798</v>
      </c>
      <c r="CA61">
        <v>700</v>
      </c>
      <c r="CB61">
        <v>2105</v>
      </c>
      <c r="CC61">
        <v>1882</v>
      </c>
      <c r="CD61">
        <v>26367</v>
      </c>
      <c r="CE61">
        <v>24996</v>
      </c>
      <c r="CF61">
        <v>3214</v>
      </c>
      <c r="CG61">
        <v>5974</v>
      </c>
      <c r="CH61">
        <v>23871</v>
      </c>
      <c r="CI61">
        <v>5031</v>
      </c>
      <c r="CJ61">
        <v>121094</v>
      </c>
      <c r="CK61">
        <v>19868</v>
      </c>
      <c r="CL61">
        <v>1115</v>
      </c>
      <c r="CM61">
        <v>3017</v>
      </c>
      <c r="CN61">
        <v>4192</v>
      </c>
      <c r="CO61">
        <v>5952</v>
      </c>
      <c r="CP61">
        <v>5251</v>
      </c>
      <c r="CQ61">
        <v>9375</v>
      </c>
      <c r="CR61">
        <v>23162</v>
      </c>
      <c r="CS61">
        <v>63371</v>
      </c>
      <c r="CT61">
        <v>12559</v>
      </c>
      <c r="CU61">
        <v>6133</v>
      </c>
      <c r="CV61">
        <v>1670</v>
      </c>
      <c r="CW61">
        <v>3014</v>
      </c>
      <c r="CX61">
        <v>151</v>
      </c>
      <c r="CY61">
        <v>18307</v>
      </c>
      <c r="CZ61">
        <v>8821</v>
      </c>
      <c r="DA61">
        <v>94</v>
      </c>
      <c r="DB61">
        <v>1115</v>
      </c>
      <c r="DC61">
        <v>24</v>
      </c>
      <c r="DD61">
        <v>5621</v>
      </c>
      <c r="DE61">
        <v>13332</v>
      </c>
      <c r="DF61">
        <v>17612</v>
      </c>
      <c r="DG61">
        <v>71266</v>
      </c>
      <c r="DH61">
        <v>8870</v>
      </c>
      <c r="DI61">
        <v>0</v>
      </c>
      <c r="DJ61">
        <v>24326</v>
      </c>
      <c r="DK61">
        <v>0</v>
      </c>
      <c r="DL61">
        <v>0</v>
      </c>
      <c r="DM61">
        <v>215</v>
      </c>
      <c r="DN61">
        <v>81</v>
      </c>
      <c r="DO61">
        <v>50</v>
      </c>
      <c r="DP61">
        <v>78</v>
      </c>
      <c r="DQ61">
        <v>3</v>
      </c>
      <c r="DR61">
        <v>0</v>
      </c>
      <c r="DS61">
        <v>1</v>
      </c>
      <c r="DT61">
        <v>0</v>
      </c>
      <c r="DU61">
        <v>0</v>
      </c>
      <c r="DV61">
        <v>2127</v>
      </c>
      <c r="DW61">
        <v>2299</v>
      </c>
      <c r="DX61">
        <v>2831</v>
      </c>
      <c r="DY61">
        <v>3081</v>
      </c>
      <c r="DZ61">
        <v>1822</v>
      </c>
      <c r="EA61">
        <v>1605</v>
      </c>
      <c r="EB61">
        <v>1006</v>
      </c>
      <c r="EC61">
        <v>891</v>
      </c>
      <c r="ED61">
        <v>917</v>
      </c>
      <c r="EE61">
        <v>914</v>
      </c>
      <c r="EF61">
        <v>1072</v>
      </c>
      <c r="EG61">
        <v>1162</v>
      </c>
      <c r="EH61">
        <v>738</v>
      </c>
      <c r="EI61">
        <v>711</v>
      </c>
      <c r="EJ61">
        <v>3481</v>
      </c>
      <c r="EK61">
        <v>4650</v>
      </c>
      <c r="EL61">
        <v>2720</v>
      </c>
      <c r="EM61">
        <v>1457</v>
      </c>
      <c r="EN61">
        <v>1443</v>
      </c>
      <c r="EO61">
        <v>1738</v>
      </c>
      <c r="EP61">
        <v>1176</v>
      </c>
      <c r="EQ61">
        <v>42980</v>
      </c>
      <c r="ER61">
        <v>42784</v>
      </c>
      <c r="ES61">
        <v>196</v>
      </c>
      <c r="ET61">
        <v>4971</v>
      </c>
      <c r="EU61">
        <v>33335</v>
      </c>
      <c r="EV61">
        <v>33280</v>
      </c>
      <c r="EW61">
        <v>55</v>
      </c>
      <c r="EX61">
        <v>18430</v>
      </c>
      <c r="EY61" s="26">
        <v>78.273591999999994</v>
      </c>
      <c r="EZ61" s="26">
        <v>7.6205130000000008</v>
      </c>
      <c r="FA61" s="26">
        <v>4.4774609999999999</v>
      </c>
      <c r="FB61" s="26">
        <v>9.4215879999999999</v>
      </c>
      <c r="FC61" s="26">
        <v>0.206846</v>
      </c>
      <c r="FD61">
        <v>10173</v>
      </c>
      <c r="FE61">
        <v>36515</v>
      </c>
      <c r="FF61">
        <v>3755</v>
      </c>
      <c r="FG61">
        <v>14823</v>
      </c>
      <c r="FH61">
        <v>25</v>
      </c>
      <c r="FI61">
        <v>7773</v>
      </c>
      <c r="FJ61">
        <v>3200</v>
      </c>
      <c r="FK61" s="26" t="s">
        <v>359</v>
      </c>
      <c r="FL61" s="26" t="s">
        <v>359</v>
      </c>
      <c r="FM61" s="26" t="s">
        <v>359</v>
      </c>
      <c r="FN61" s="26" t="s">
        <v>359</v>
      </c>
      <c r="FO61" s="28">
        <v>55228</v>
      </c>
      <c r="FP61" s="28">
        <v>12377</v>
      </c>
      <c r="FQ61">
        <v>1844</v>
      </c>
      <c r="FR61">
        <v>1015</v>
      </c>
      <c r="FS61">
        <v>202</v>
      </c>
      <c r="FT61">
        <v>57</v>
      </c>
      <c r="FU61">
        <v>49273</v>
      </c>
      <c r="FV61">
        <v>49</v>
      </c>
      <c r="FW61">
        <v>35</v>
      </c>
      <c r="FX61">
        <v>1286</v>
      </c>
      <c r="FY61">
        <v>58902</v>
      </c>
      <c r="FZ61">
        <v>11940</v>
      </c>
      <c r="GA61">
        <v>1716</v>
      </c>
      <c r="GB61">
        <v>1067</v>
      </c>
      <c r="GC61">
        <v>259</v>
      </c>
      <c r="GD61">
        <v>61</v>
      </c>
      <c r="GE61">
        <v>52993</v>
      </c>
      <c r="GF61">
        <v>46</v>
      </c>
      <c r="GG61">
        <v>30</v>
      </c>
      <c r="GH61">
        <v>1294</v>
      </c>
      <c r="GI61">
        <v>5749</v>
      </c>
      <c r="GJ61">
        <v>7122</v>
      </c>
      <c r="GK61">
        <v>6727</v>
      </c>
      <c r="GL61">
        <v>5936</v>
      </c>
      <c r="GM61">
        <v>4913</v>
      </c>
      <c r="GN61">
        <v>4275</v>
      </c>
      <c r="GO61">
        <v>4040</v>
      </c>
      <c r="GP61">
        <v>3506</v>
      </c>
      <c r="GQ61">
        <v>2867</v>
      </c>
      <c r="GR61">
        <v>2368</v>
      </c>
      <c r="GS61">
        <v>1967</v>
      </c>
      <c r="GT61">
        <v>1564</v>
      </c>
      <c r="GU61">
        <v>1146</v>
      </c>
      <c r="GV61">
        <v>1075</v>
      </c>
      <c r="GW61">
        <v>742</v>
      </c>
      <c r="GX61">
        <v>602</v>
      </c>
      <c r="GY61">
        <v>312</v>
      </c>
      <c r="GZ61">
        <v>316</v>
      </c>
      <c r="HA61">
        <v>5549</v>
      </c>
      <c r="HB61">
        <v>6903</v>
      </c>
      <c r="HC61">
        <v>6833</v>
      </c>
      <c r="HD61">
        <v>6028</v>
      </c>
      <c r="HE61">
        <v>5849</v>
      </c>
      <c r="HF61">
        <v>5158</v>
      </c>
      <c r="HG61">
        <v>4786</v>
      </c>
      <c r="HH61">
        <v>4132</v>
      </c>
      <c r="HI61">
        <v>3212</v>
      </c>
      <c r="HJ61">
        <v>2615</v>
      </c>
      <c r="HK61">
        <v>2141</v>
      </c>
      <c r="HL61">
        <v>1660</v>
      </c>
      <c r="HM61">
        <v>1192</v>
      </c>
      <c r="HN61">
        <v>1114</v>
      </c>
      <c r="HO61">
        <v>708</v>
      </c>
      <c r="HP61">
        <v>507</v>
      </c>
      <c r="HQ61">
        <v>268</v>
      </c>
      <c r="HR61">
        <v>247</v>
      </c>
      <c r="HS61">
        <v>26550</v>
      </c>
      <c r="HT61">
        <v>0</v>
      </c>
      <c r="HU61">
        <v>22</v>
      </c>
      <c r="HV61">
        <v>0</v>
      </c>
      <c r="HW61">
        <v>44</v>
      </c>
      <c r="HX61">
        <v>0</v>
      </c>
      <c r="HY61">
        <v>5</v>
      </c>
      <c r="HZ61">
        <v>500</v>
      </c>
      <c r="IA61">
        <v>1111</v>
      </c>
      <c r="IB61">
        <v>3011</v>
      </c>
      <c r="IC61">
        <v>4186</v>
      </c>
      <c r="ID61">
        <v>5942</v>
      </c>
      <c r="IE61">
        <v>5242</v>
      </c>
      <c r="IF61">
        <v>3524</v>
      </c>
      <c r="IG61">
        <v>2278</v>
      </c>
      <c r="IH61">
        <v>1383</v>
      </c>
      <c r="II61">
        <v>2176</v>
      </c>
      <c r="IJ61">
        <v>820</v>
      </c>
      <c r="IK61">
        <v>5510</v>
      </c>
      <c r="IL61">
        <v>9023</v>
      </c>
      <c r="IM61">
        <v>6966</v>
      </c>
      <c r="IN61">
        <v>3835</v>
      </c>
      <c r="IO61">
        <v>1403</v>
      </c>
      <c r="IP61">
        <v>455</v>
      </c>
      <c r="IQ61">
        <v>181</v>
      </c>
      <c r="IR61">
        <v>97</v>
      </c>
      <c r="IS61">
        <v>8957</v>
      </c>
      <c r="IT61">
        <v>11657</v>
      </c>
      <c r="IU61">
        <v>5439</v>
      </c>
      <c r="IV61">
        <v>1829</v>
      </c>
      <c r="IW61">
        <v>408</v>
      </c>
      <c r="IX61">
        <v>4726</v>
      </c>
      <c r="IY61">
        <v>6893</v>
      </c>
      <c r="IZ61">
        <v>434</v>
      </c>
      <c r="JA61">
        <v>135</v>
      </c>
      <c r="JB61">
        <v>329</v>
      </c>
      <c r="JC61">
        <v>2191</v>
      </c>
      <c r="JD61">
        <v>17221</v>
      </c>
      <c r="JE61">
        <v>11068</v>
      </c>
      <c r="JF61">
        <v>564</v>
      </c>
      <c r="JH61" s="28">
        <v>19719.567619803045</v>
      </c>
      <c r="JI61" s="28">
        <v>485.82469403441303</v>
      </c>
      <c r="JJ61">
        <v>4019</v>
      </c>
      <c r="JK61">
        <v>22392</v>
      </c>
      <c r="JL61">
        <v>1880</v>
      </c>
      <c r="JM61">
        <v>562</v>
      </c>
      <c r="JN61">
        <v>10556</v>
      </c>
      <c r="JO61">
        <v>5771</v>
      </c>
      <c r="JP61">
        <v>4844</v>
      </c>
      <c r="JQ61">
        <v>13186</v>
      </c>
      <c r="JR61">
        <v>17022</v>
      </c>
      <c r="JS61">
        <v>1631</v>
      </c>
      <c r="JT61">
        <v>1217</v>
      </c>
      <c r="JU61">
        <v>13414</v>
      </c>
      <c r="JV61">
        <v>2011</v>
      </c>
      <c r="JW61" s="28"/>
      <c r="JX61" s="28"/>
      <c r="JY61" s="28"/>
      <c r="JZ61" s="28"/>
      <c r="KA61" s="28">
        <v>28058.000018620001</v>
      </c>
      <c r="KB61">
        <v>130941</v>
      </c>
      <c r="KC61">
        <v>0</v>
      </c>
      <c r="KD61">
        <v>45</v>
      </c>
      <c r="KE61">
        <v>0</v>
      </c>
      <c r="KF61">
        <v>193</v>
      </c>
      <c r="KG61">
        <v>0</v>
      </c>
      <c r="KH61">
        <v>25</v>
      </c>
      <c r="KI61">
        <v>2276</v>
      </c>
      <c r="KJ61">
        <v>20391</v>
      </c>
      <c r="KK61">
        <v>110073</v>
      </c>
      <c r="KL61">
        <v>7700</v>
      </c>
      <c r="KM61">
        <v>2580</v>
      </c>
      <c r="KT61">
        <v>20050</v>
      </c>
      <c r="KU61">
        <v>19197</v>
      </c>
      <c r="KV61">
        <v>17131</v>
      </c>
      <c r="KW61">
        <v>1651</v>
      </c>
      <c r="KX61">
        <v>468</v>
      </c>
      <c r="KZ61">
        <v>16522</v>
      </c>
      <c r="LA61">
        <v>1399</v>
      </c>
      <c r="LB61">
        <v>417</v>
      </c>
      <c r="LD61">
        <v>10933</v>
      </c>
      <c r="LE61">
        <v>11075</v>
      </c>
      <c r="LF61">
        <v>6147</v>
      </c>
      <c r="LG61">
        <v>10896</v>
      </c>
      <c r="LH61">
        <v>90750</v>
      </c>
      <c r="LI61">
        <v>60</v>
      </c>
      <c r="LJ61">
        <v>11749</v>
      </c>
      <c r="LK61">
        <v>1484</v>
      </c>
      <c r="LL61">
        <v>8670</v>
      </c>
      <c r="LM61">
        <v>16</v>
      </c>
      <c r="LN61">
        <v>3868</v>
      </c>
      <c r="LO61">
        <v>1406</v>
      </c>
      <c r="LP61">
        <v>91</v>
      </c>
      <c r="LQ61">
        <v>12381</v>
      </c>
      <c r="LR61">
        <v>1378</v>
      </c>
      <c r="LS61">
        <v>9664</v>
      </c>
      <c r="LT61">
        <v>12</v>
      </c>
      <c r="LU61">
        <v>2925</v>
      </c>
      <c r="LV61">
        <v>1044</v>
      </c>
      <c r="LW61" s="44"/>
      <c r="LX61" s="44"/>
      <c r="LY61" s="44"/>
      <c r="LZ61">
        <v>28853</v>
      </c>
      <c r="MA61">
        <v>140744</v>
      </c>
      <c r="MB61">
        <v>122821</v>
      </c>
      <c r="MC61">
        <v>47909</v>
      </c>
      <c r="MD61" s="26">
        <v>18.780165</v>
      </c>
      <c r="ME61" s="26">
        <v>13.495901</v>
      </c>
      <c r="MF61" s="26">
        <v>64.036363999999992</v>
      </c>
      <c r="MG61" s="26">
        <v>17.242796999999999</v>
      </c>
      <c r="MH61" s="26">
        <v>13.929226999999999</v>
      </c>
      <c r="MI61" s="26">
        <v>3.1400549999999998</v>
      </c>
      <c r="MJ61" s="26">
        <v>20.763871999999999</v>
      </c>
      <c r="MK61" s="26">
        <v>38.359963</v>
      </c>
      <c r="ML61" s="26">
        <v>2.7553459999999999</v>
      </c>
      <c r="MM61" s="26">
        <v>79.998614000000003</v>
      </c>
      <c r="MN61" s="26">
        <v>63.414549999999998</v>
      </c>
      <c r="MO61" s="26">
        <v>1.5991439999999999</v>
      </c>
      <c r="MP61" t="s">
        <v>1028</v>
      </c>
      <c r="MQ61">
        <v>199</v>
      </c>
      <c r="MR61">
        <v>24</v>
      </c>
    </row>
    <row r="62" spans="1:356">
      <c r="A62" t="s">
        <v>187</v>
      </c>
      <c r="B62" t="s">
        <v>188</v>
      </c>
      <c r="C62">
        <v>21100</v>
      </c>
      <c r="D62">
        <v>25530</v>
      </c>
      <c r="E62">
        <v>28829</v>
      </c>
      <c r="F62">
        <f t="shared" si="2"/>
        <v>3299</v>
      </c>
      <c r="G62" s="26">
        <f t="shared" si="3"/>
        <v>12.92205248726988</v>
      </c>
      <c r="H62">
        <v>14134</v>
      </c>
      <c r="I62">
        <v>14695</v>
      </c>
      <c r="J62">
        <v>21194</v>
      </c>
      <c r="K62">
        <v>7635</v>
      </c>
      <c r="L62">
        <v>1374</v>
      </c>
      <c r="M62">
        <v>1571</v>
      </c>
      <c r="N62">
        <v>1516</v>
      </c>
      <c r="O62">
        <v>1393</v>
      </c>
      <c r="P62">
        <v>1234</v>
      </c>
      <c r="Q62">
        <v>1156</v>
      </c>
      <c r="R62">
        <v>1027</v>
      </c>
      <c r="S62">
        <v>951</v>
      </c>
      <c r="T62">
        <v>768</v>
      </c>
      <c r="U62">
        <v>660</v>
      </c>
      <c r="V62">
        <v>621</v>
      </c>
      <c r="W62">
        <v>534</v>
      </c>
      <c r="X62">
        <v>367</v>
      </c>
      <c r="Y62">
        <v>962</v>
      </c>
      <c r="Z62">
        <v>0</v>
      </c>
      <c r="AA62">
        <v>1394</v>
      </c>
      <c r="AB62">
        <v>1632</v>
      </c>
      <c r="AC62">
        <v>1489</v>
      </c>
      <c r="AD62">
        <v>1408</v>
      </c>
      <c r="AE62">
        <v>1261</v>
      </c>
      <c r="AF62">
        <v>1276</v>
      </c>
      <c r="AG62">
        <v>1109</v>
      </c>
      <c r="AH62">
        <v>1016</v>
      </c>
      <c r="AI62">
        <v>835</v>
      </c>
      <c r="AJ62">
        <v>777</v>
      </c>
      <c r="AK62">
        <v>628</v>
      </c>
      <c r="AL62">
        <v>541</v>
      </c>
      <c r="AM62">
        <v>395</v>
      </c>
      <c r="AN62">
        <v>934</v>
      </c>
      <c r="AO62">
        <v>0</v>
      </c>
      <c r="AP62">
        <v>28646</v>
      </c>
      <c r="AQ62">
        <v>133</v>
      </c>
      <c r="AR62">
        <v>16</v>
      </c>
      <c r="AS62">
        <v>29</v>
      </c>
      <c r="AT62">
        <v>5</v>
      </c>
      <c r="AU62">
        <v>1655</v>
      </c>
      <c r="AV62">
        <v>905</v>
      </c>
      <c r="AW62">
        <v>750</v>
      </c>
      <c r="AX62">
        <v>1480</v>
      </c>
      <c r="AY62">
        <v>1346</v>
      </c>
      <c r="AZ62">
        <v>359</v>
      </c>
      <c r="BA62">
        <v>987</v>
      </c>
      <c r="BB62">
        <v>17</v>
      </c>
      <c r="BC62">
        <v>10</v>
      </c>
      <c r="BD62">
        <v>33</v>
      </c>
      <c r="BE62">
        <v>31</v>
      </c>
      <c r="BF62">
        <v>44</v>
      </c>
      <c r="BG62">
        <v>50</v>
      </c>
      <c r="BH62">
        <v>54</v>
      </c>
      <c r="BI62">
        <v>35</v>
      </c>
      <c r="BJ62">
        <v>53</v>
      </c>
      <c r="BK62">
        <v>52</v>
      </c>
      <c r="BL62">
        <v>57</v>
      </c>
      <c r="BM62">
        <v>53</v>
      </c>
      <c r="BN62">
        <v>47</v>
      </c>
      <c r="BO62">
        <v>46</v>
      </c>
      <c r="BP62">
        <v>66</v>
      </c>
      <c r="BQ62">
        <v>45</v>
      </c>
      <c r="BR62">
        <v>57</v>
      </c>
      <c r="BS62">
        <v>38</v>
      </c>
      <c r="BT62">
        <v>72</v>
      </c>
      <c r="BU62">
        <v>40</v>
      </c>
      <c r="BV62">
        <v>73</v>
      </c>
      <c r="BW62">
        <v>54</v>
      </c>
      <c r="BX62">
        <v>77</v>
      </c>
      <c r="BY62">
        <v>58</v>
      </c>
      <c r="BZ62">
        <v>64</v>
      </c>
      <c r="CA62">
        <v>58</v>
      </c>
      <c r="CB62">
        <v>191</v>
      </c>
      <c r="CC62">
        <v>180</v>
      </c>
      <c r="CD62">
        <v>891</v>
      </c>
      <c r="CE62">
        <v>735</v>
      </c>
      <c r="CF62">
        <v>12</v>
      </c>
      <c r="CG62">
        <v>15</v>
      </c>
      <c r="CH62">
        <v>5650</v>
      </c>
      <c r="CI62">
        <v>1577</v>
      </c>
      <c r="CJ62">
        <v>23566</v>
      </c>
      <c r="CK62">
        <v>5234</v>
      </c>
      <c r="CL62">
        <v>619</v>
      </c>
      <c r="CM62">
        <v>1137</v>
      </c>
      <c r="CN62">
        <v>1310</v>
      </c>
      <c r="CO62">
        <v>1703</v>
      </c>
      <c r="CP62">
        <v>1160</v>
      </c>
      <c r="CQ62">
        <v>1298</v>
      </c>
      <c r="CR62">
        <v>5333</v>
      </c>
      <c r="CS62">
        <v>12352</v>
      </c>
      <c r="CT62">
        <v>2195</v>
      </c>
      <c r="CU62">
        <v>885</v>
      </c>
      <c r="CV62">
        <v>231</v>
      </c>
      <c r="CW62">
        <v>522</v>
      </c>
      <c r="CX62">
        <v>55</v>
      </c>
      <c r="CY62">
        <v>4853</v>
      </c>
      <c r="CZ62">
        <v>1717</v>
      </c>
      <c r="DA62">
        <v>30</v>
      </c>
      <c r="DB62">
        <v>619</v>
      </c>
      <c r="DC62">
        <v>8</v>
      </c>
      <c r="DD62">
        <v>1959</v>
      </c>
      <c r="DE62">
        <v>2188</v>
      </c>
      <c r="DF62">
        <v>903</v>
      </c>
      <c r="DG62">
        <v>2585</v>
      </c>
      <c r="DH62">
        <v>0</v>
      </c>
      <c r="DI62">
        <v>0</v>
      </c>
      <c r="DJ62">
        <v>21194</v>
      </c>
      <c r="DK62">
        <v>0</v>
      </c>
      <c r="DL62">
        <v>0</v>
      </c>
      <c r="DM62">
        <v>95</v>
      </c>
      <c r="DN62">
        <v>14</v>
      </c>
      <c r="DO62">
        <v>3</v>
      </c>
      <c r="DP62">
        <v>4</v>
      </c>
      <c r="DQ62">
        <v>0</v>
      </c>
      <c r="DR62">
        <v>0</v>
      </c>
      <c r="DS62">
        <v>1</v>
      </c>
      <c r="DT62">
        <v>0</v>
      </c>
      <c r="DU62">
        <v>0</v>
      </c>
      <c r="DV62">
        <v>563</v>
      </c>
      <c r="DW62">
        <v>653</v>
      </c>
      <c r="DX62">
        <v>808</v>
      </c>
      <c r="DY62">
        <v>866</v>
      </c>
      <c r="DZ62">
        <v>470</v>
      </c>
      <c r="EA62">
        <v>383</v>
      </c>
      <c r="EB62">
        <v>249</v>
      </c>
      <c r="EC62">
        <v>187</v>
      </c>
      <c r="ED62">
        <v>200</v>
      </c>
      <c r="EE62">
        <v>191</v>
      </c>
      <c r="EF62">
        <v>314</v>
      </c>
      <c r="EG62">
        <v>331</v>
      </c>
      <c r="EH62">
        <v>175</v>
      </c>
      <c r="EI62">
        <v>135</v>
      </c>
      <c r="EJ62">
        <v>857</v>
      </c>
      <c r="EK62">
        <v>1210</v>
      </c>
      <c r="EL62">
        <v>598</v>
      </c>
      <c r="EM62">
        <v>287</v>
      </c>
      <c r="EN62">
        <v>256</v>
      </c>
      <c r="EO62">
        <v>447</v>
      </c>
      <c r="EP62">
        <v>209</v>
      </c>
      <c r="EQ62">
        <v>8990</v>
      </c>
      <c r="ER62">
        <v>8787</v>
      </c>
      <c r="ES62">
        <v>203</v>
      </c>
      <c r="ET62">
        <v>1563</v>
      </c>
      <c r="EU62">
        <v>5020</v>
      </c>
      <c r="EV62">
        <v>4969</v>
      </c>
      <c r="EW62">
        <v>51</v>
      </c>
      <c r="EX62">
        <v>6016</v>
      </c>
      <c r="EY62" s="26">
        <v>47.250216000000002</v>
      </c>
      <c r="EZ62" s="26">
        <v>15.107016</v>
      </c>
      <c r="FA62" s="26">
        <v>13.57136</v>
      </c>
      <c r="FB62" s="26">
        <v>23.553124</v>
      </c>
      <c r="FC62" s="26">
        <v>0.51828399999999997</v>
      </c>
      <c r="FD62">
        <v>2661</v>
      </c>
      <c r="FE62">
        <v>6013</v>
      </c>
      <c r="FF62">
        <v>498</v>
      </c>
      <c r="FG62">
        <v>2121</v>
      </c>
      <c r="FH62">
        <v>11</v>
      </c>
      <c r="FI62">
        <v>1467</v>
      </c>
      <c r="FJ62">
        <v>1229</v>
      </c>
      <c r="FK62" s="26" t="s">
        <v>359</v>
      </c>
      <c r="FL62" s="26" t="s">
        <v>359</v>
      </c>
      <c r="FM62" s="26" t="s">
        <v>359</v>
      </c>
      <c r="FN62" s="26" t="s">
        <v>359</v>
      </c>
      <c r="FO62" s="28">
        <v>9818</v>
      </c>
      <c r="FP62" s="28">
        <v>4313</v>
      </c>
      <c r="FQ62">
        <v>991</v>
      </c>
      <c r="FR62">
        <v>425</v>
      </c>
      <c r="FS62">
        <v>75</v>
      </c>
      <c r="FT62">
        <v>19</v>
      </c>
      <c r="FU62">
        <v>8298</v>
      </c>
      <c r="FV62">
        <v>21</v>
      </c>
      <c r="FW62">
        <v>19</v>
      </c>
      <c r="FX62">
        <v>3</v>
      </c>
      <c r="FY62">
        <v>10459</v>
      </c>
      <c r="FZ62">
        <v>4235</v>
      </c>
      <c r="GA62">
        <v>855</v>
      </c>
      <c r="GB62">
        <v>455</v>
      </c>
      <c r="GC62">
        <v>92</v>
      </c>
      <c r="GD62">
        <v>7</v>
      </c>
      <c r="GE62">
        <v>9043</v>
      </c>
      <c r="GF62">
        <v>19</v>
      </c>
      <c r="GG62">
        <v>7</v>
      </c>
      <c r="GH62">
        <v>1</v>
      </c>
      <c r="GI62">
        <v>896</v>
      </c>
      <c r="GJ62">
        <v>1138</v>
      </c>
      <c r="GK62">
        <v>1130</v>
      </c>
      <c r="GL62">
        <v>981</v>
      </c>
      <c r="GM62">
        <v>829</v>
      </c>
      <c r="GN62">
        <v>780</v>
      </c>
      <c r="GO62">
        <v>708</v>
      </c>
      <c r="GP62">
        <v>681</v>
      </c>
      <c r="GQ62">
        <v>534</v>
      </c>
      <c r="GR62">
        <v>464</v>
      </c>
      <c r="GS62">
        <v>426</v>
      </c>
      <c r="GT62">
        <v>364</v>
      </c>
      <c r="GU62">
        <v>258</v>
      </c>
      <c r="GV62">
        <v>214</v>
      </c>
      <c r="GW62">
        <v>142</v>
      </c>
      <c r="GX62">
        <v>131</v>
      </c>
      <c r="GY62">
        <v>67</v>
      </c>
      <c r="GZ62">
        <v>75</v>
      </c>
      <c r="HA62">
        <v>901</v>
      </c>
      <c r="HB62">
        <v>1200</v>
      </c>
      <c r="HC62">
        <v>1076</v>
      </c>
      <c r="HD62">
        <v>993</v>
      </c>
      <c r="HE62">
        <v>890</v>
      </c>
      <c r="HF62">
        <v>918</v>
      </c>
      <c r="HG62">
        <v>831</v>
      </c>
      <c r="HH62">
        <v>741</v>
      </c>
      <c r="HI62">
        <v>616</v>
      </c>
      <c r="HJ62">
        <v>541</v>
      </c>
      <c r="HK62">
        <v>448</v>
      </c>
      <c r="HL62">
        <v>393</v>
      </c>
      <c r="HM62">
        <v>275</v>
      </c>
      <c r="HN62">
        <v>226</v>
      </c>
      <c r="HO62">
        <v>144</v>
      </c>
      <c r="HP62">
        <v>122</v>
      </c>
      <c r="HQ62">
        <v>72</v>
      </c>
      <c r="HR62">
        <v>72</v>
      </c>
      <c r="HS62">
        <v>6394</v>
      </c>
      <c r="HT62">
        <v>0</v>
      </c>
      <c r="HU62">
        <v>11</v>
      </c>
      <c r="HV62">
        <v>0</v>
      </c>
      <c r="HW62">
        <v>10</v>
      </c>
      <c r="HX62">
        <v>0</v>
      </c>
      <c r="HY62">
        <v>1</v>
      </c>
      <c r="HZ62">
        <v>1</v>
      </c>
      <c r="IA62">
        <v>617</v>
      </c>
      <c r="IB62">
        <v>1134</v>
      </c>
      <c r="IC62">
        <v>1307</v>
      </c>
      <c r="ID62">
        <v>1702</v>
      </c>
      <c r="IE62">
        <v>1160</v>
      </c>
      <c r="IF62">
        <v>616</v>
      </c>
      <c r="IG62">
        <v>307</v>
      </c>
      <c r="IH62">
        <v>158</v>
      </c>
      <c r="II62">
        <v>215</v>
      </c>
      <c r="IJ62">
        <v>624</v>
      </c>
      <c r="IK62">
        <v>1951</v>
      </c>
      <c r="IL62">
        <v>2076</v>
      </c>
      <c r="IM62">
        <v>1468</v>
      </c>
      <c r="IN62">
        <v>699</v>
      </c>
      <c r="IO62">
        <v>241</v>
      </c>
      <c r="IP62">
        <v>88</v>
      </c>
      <c r="IQ62">
        <v>36</v>
      </c>
      <c r="IR62">
        <v>32</v>
      </c>
      <c r="IS62">
        <v>3131</v>
      </c>
      <c r="IT62">
        <v>2810</v>
      </c>
      <c r="IU62">
        <v>970</v>
      </c>
      <c r="IV62">
        <v>254</v>
      </c>
      <c r="IW62">
        <v>50</v>
      </c>
      <c r="IX62">
        <v>2248</v>
      </c>
      <c r="IY62">
        <v>2086</v>
      </c>
      <c r="IZ62">
        <v>17</v>
      </c>
      <c r="JA62">
        <v>90</v>
      </c>
      <c r="JB62">
        <v>95</v>
      </c>
      <c r="JC62">
        <v>555</v>
      </c>
      <c r="JD62">
        <v>7066</v>
      </c>
      <c r="JE62">
        <v>149</v>
      </c>
      <c r="JF62">
        <v>1</v>
      </c>
      <c r="JH62" s="28">
        <v>5464.9612062400229</v>
      </c>
      <c r="JI62" s="28">
        <v>407.1804209236322</v>
      </c>
      <c r="JJ62">
        <v>1495</v>
      </c>
      <c r="JK62">
        <v>4532</v>
      </c>
      <c r="JL62">
        <v>1189</v>
      </c>
      <c r="JM62">
        <v>0</v>
      </c>
      <c r="JN62">
        <v>4360</v>
      </c>
      <c r="JO62">
        <v>3425</v>
      </c>
      <c r="JP62">
        <v>1257</v>
      </c>
      <c r="JQ62">
        <v>4759</v>
      </c>
      <c r="JR62">
        <v>5992</v>
      </c>
      <c r="JS62">
        <v>624</v>
      </c>
      <c r="JT62">
        <v>387</v>
      </c>
      <c r="JU62">
        <v>4651</v>
      </c>
      <c r="JV62">
        <v>404</v>
      </c>
      <c r="JW62" s="28"/>
      <c r="JX62" s="28"/>
      <c r="JY62" s="28"/>
      <c r="JZ62" s="28"/>
      <c r="KA62" s="28">
        <v>7104.0000310400001</v>
      </c>
      <c r="KB62">
        <v>25692</v>
      </c>
      <c r="KC62">
        <v>0</v>
      </c>
      <c r="KD62">
        <v>29</v>
      </c>
      <c r="KE62">
        <v>0</v>
      </c>
      <c r="KF62">
        <v>32</v>
      </c>
      <c r="KG62">
        <v>0</v>
      </c>
      <c r="KH62">
        <v>1</v>
      </c>
      <c r="KI62">
        <v>3</v>
      </c>
      <c r="KJ62">
        <v>6126</v>
      </c>
      <c r="KK62">
        <v>18342</v>
      </c>
      <c r="KL62">
        <v>4299</v>
      </c>
      <c r="KM62">
        <v>0</v>
      </c>
      <c r="KT62">
        <v>3591</v>
      </c>
      <c r="KU62">
        <v>3640</v>
      </c>
      <c r="KV62">
        <v>2953</v>
      </c>
      <c r="KW62">
        <v>375</v>
      </c>
      <c r="KX62">
        <v>151</v>
      </c>
      <c r="KZ62">
        <v>3057</v>
      </c>
      <c r="LA62">
        <v>354</v>
      </c>
      <c r="LB62">
        <v>136</v>
      </c>
      <c r="LD62">
        <v>2244</v>
      </c>
      <c r="LE62">
        <v>2258</v>
      </c>
      <c r="LF62">
        <v>1895</v>
      </c>
      <c r="LG62">
        <v>2356</v>
      </c>
      <c r="LH62">
        <v>19853</v>
      </c>
      <c r="LI62">
        <v>14</v>
      </c>
      <c r="LJ62">
        <v>2076</v>
      </c>
      <c r="LK62">
        <v>278</v>
      </c>
      <c r="LL62">
        <v>1376</v>
      </c>
      <c r="LM62">
        <v>7</v>
      </c>
      <c r="LN62">
        <v>829</v>
      </c>
      <c r="LO62">
        <v>555</v>
      </c>
      <c r="LP62">
        <v>22</v>
      </c>
      <c r="LQ62">
        <v>2300</v>
      </c>
      <c r="LR62">
        <v>251</v>
      </c>
      <c r="LS62">
        <v>1768</v>
      </c>
      <c r="LT62">
        <v>11</v>
      </c>
      <c r="LU62">
        <v>758</v>
      </c>
      <c r="LV62">
        <v>399</v>
      </c>
      <c r="LW62" s="44"/>
      <c r="LX62" s="44"/>
      <c r="LY62" s="44"/>
      <c r="LZ62">
        <v>7216</v>
      </c>
      <c r="MA62">
        <v>28767</v>
      </c>
      <c r="MB62">
        <v>28261</v>
      </c>
      <c r="MC62">
        <v>1548</v>
      </c>
      <c r="MD62" s="26">
        <v>21.412381</v>
      </c>
      <c r="ME62" s="26">
        <v>17.390523999999999</v>
      </c>
      <c r="MF62" s="26">
        <v>64.53432699999999</v>
      </c>
      <c r="MG62" s="26">
        <v>29.650698999999999</v>
      </c>
      <c r="MH62" s="26">
        <v>20.717848999999998</v>
      </c>
      <c r="MI62" s="26">
        <v>2.217295</v>
      </c>
      <c r="MJ62" s="26">
        <v>19.650776</v>
      </c>
      <c r="MK62" s="26">
        <v>2.0648559999999998</v>
      </c>
      <c r="ML62" s="26">
        <v>1.552106</v>
      </c>
      <c r="MM62" s="26">
        <v>52.536030999999994</v>
      </c>
      <c r="MN62" s="26">
        <v>39.578713999999998</v>
      </c>
      <c r="MO62" s="26">
        <v>1.0540369999999999</v>
      </c>
      <c r="MP62" t="s">
        <v>1028</v>
      </c>
      <c r="MQ62">
        <v>356</v>
      </c>
      <c r="MR62">
        <v>38</v>
      </c>
    </row>
    <row r="63" spans="1:356">
      <c r="A63" t="s">
        <v>139</v>
      </c>
      <c r="B63" t="s">
        <v>140</v>
      </c>
      <c r="C63">
        <v>39055</v>
      </c>
      <c r="D63">
        <v>43913</v>
      </c>
      <c r="E63">
        <v>46130</v>
      </c>
      <c r="F63">
        <f t="shared" si="2"/>
        <v>2217</v>
      </c>
      <c r="G63" s="26">
        <f t="shared" si="3"/>
        <v>5.0486188600186779</v>
      </c>
      <c r="H63">
        <v>22781</v>
      </c>
      <c r="I63">
        <v>23349</v>
      </c>
      <c r="J63">
        <v>19271</v>
      </c>
      <c r="K63">
        <v>26859</v>
      </c>
      <c r="L63">
        <v>2251</v>
      </c>
      <c r="M63">
        <v>2561</v>
      </c>
      <c r="N63">
        <v>2333</v>
      </c>
      <c r="O63">
        <v>2011</v>
      </c>
      <c r="P63">
        <v>1571</v>
      </c>
      <c r="Q63">
        <v>1604</v>
      </c>
      <c r="R63">
        <v>1491</v>
      </c>
      <c r="S63">
        <v>1421</v>
      </c>
      <c r="T63">
        <v>1394</v>
      </c>
      <c r="U63">
        <v>1165</v>
      </c>
      <c r="V63">
        <v>1149</v>
      </c>
      <c r="W63">
        <v>943</v>
      </c>
      <c r="X63">
        <v>836</v>
      </c>
      <c r="Y63">
        <v>2049</v>
      </c>
      <c r="Z63">
        <v>2</v>
      </c>
      <c r="AA63">
        <v>2113</v>
      </c>
      <c r="AB63">
        <v>2359</v>
      </c>
      <c r="AC63">
        <v>2276</v>
      </c>
      <c r="AD63">
        <v>1950</v>
      </c>
      <c r="AE63">
        <v>1782</v>
      </c>
      <c r="AF63">
        <v>1970</v>
      </c>
      <c r="AG63">
        <v>1769</v>
      </c>
      <c r="AH63">
        <v>1546</v>
      </c>
      <c r="AI63">
        <v>1461</v>
      </c>
      <c r="AJ63">
        <v>1309</v>
      </c>
      <c r="AK63">
        <v>1201</v>
      </c>
      <c r="AL63">
        <v>995</v>
      </c>
      <c r="AM63">
        <v>802</v>
      </c>
      <c r="AN63">
        <v>1814</v>
      </c>
      <c r="AO63">
        <v>2</v>
      </c>
      <c r="AP63">
        <v>43721</v>
      </c>
      <c r="AQ63">
        <v>1843</v>
      </c>
      <c r="AR63">
        <v>160</v>
      </c>
      <c r="AS63">
        <v>381</v>
      </c>
      <c r="AT63">
        <v>25</v>
      </c>
      <c r="AU63">
        <v>155</v>
      </c>
      <c r="AV63">
        <v>93</v>
      </c>
      <c r="AW63">
        <v>62</v>
      </c>
      <c r="AX63">
        <v>199</v>
      </c>
      <c r="AY63">
        <v>132</v>
      </c>
      <c r="AZ63">
        <v>89</v>
      </c>
      <c r="BA63">
        <v>43</v>
      </c>
      <c r="BB63">
        <v>1</v>
      </c>
      <c r="BC63">
        <v>0</v>
      </c>
      <c r="BD63">
        <v>1</v>
      </c>
      <c r="BE63">
        <v>2</v>
      </c>
      <c r="BF63">
        <v>0</v>
      </c>
      <c r="BG63">
        <v>4</v>
      </c>
      <c r="BH63">
        <v>5</v>
      </c>
      <c r="BI63">
        <v>3</v>
      </c>
      <c r="BJ63">
        <v>3</v>
      </c>
      <c r="BK63">
        <v>4</v>
      </c>
      <c r="BL63">
        <v>5</v>
      </c>
      <c r="BM63">
        <v>6</v>
      </c>
      <c r="BN63">
        <v>9</v>
      </c>
      <c r="BO63">
        <v>5</v>
      </c>
      <c r="BP63">
        <v>5</v>
      </c>
      <c r="BQ63">
        <v>2</v>
      </c>
      <c r="BR63">
        <v>6</v>
      </c>
      <c r="BS63">
        <v>5</v>
      </c>
      <c r="BT63">
        <v>5</v>
      </c>
      <c r="BU63">
        <v>5</v>
      </c>
      <c r="BV63">
        <v>8</v>
      </c>
      <c r="BW63">
        <v>4</v>
      </c>
      <c r="BX63">
        <v>4</v>
      </c>
      <c r="BY63">
        <v>2</v>
      </c>
      <c r="BZ63">
        <v>11</v>
      </c>
      <c r="CA63">
        <v>10</v>
      </c>
      <c r="CB63">
        <v>30</v>
      </c>
      <c r="CC63">
        <v>10</v>
      </c>
      <c r="CD63">
        <v>93</v>
      </c>
      <c r="CE63">
        <v>62</v>
      </c>
      <c r="CF63">
        <v>0</v>
      </c>
      <c r="CG63">
        <v>0</v>
      </c>
      <c r="CH63">
        <v>9167</v>
      </c>
      <c r="CI63">
        <v>3608</v>
      </c>
      <c r="CJ63">
        <v>34516</v>
      </c>
      <c r="CK63">
        <v>11579</v>
      </c>
      <c r="CL63">
        <v>1628</v>
      </c>
      <c r="CM63">
        <v>2446</v>
      </c>
      <c r="CN63">
        <v>2521</v>
      </c>
      <c r="CO63">
        <v>2544</v>
      </c>
      <c r="CP63">
        <v>1840</v>
      </c>
      <c r="CQ63">
        <v>1796</v>
      </c>
      <c r="CR63">
        <v>8417</v>
      </c>
      <c r="CS63">
        <v>17581</v>
      </c>
      <c r="CT63">
        <v>3960</v>
      </c>
      <c r="CU63">
        <v>1038</v>
      </c>
      <c r="CV63">
        <v>590</v>
      </c>
      <c r="CW63">
        <v>1534</v>
      </c>
      <c r="CX63">
        <v>197</v>
      </c>
      <c r="CY63">
        <v>7624</v>
      </c>
      <c r="CZ63">
        <v>3383</v>
      </c>
      <c r="DA63">
        <v>99</v>
      </c>
      <c r="DB63">
        <v>1628</v>
      </c>
      <c r="DC63">
        <v>39</v>
      </c>
      <c r="DD63">
        <v>4346</v>
      </c>
      <c r="DE63">
        <v>4578</v>
      </c>
      <c r="DF63">
        <v>7197</v>
      </c>
      <c r="DG63">
        <v>10738</v>
      </c>
      <c r="DH63">
        <v>0</v>
      </c>
      <c r="DI63">
        <v>0</v>
      </c>
      <c r="DJ63">
        <v>19271</v>
      </c>
      <c r="DK63">
        <v>0</v>
      </c>
      <c r="DL63">
        <v>0</v>
      </c>
      <c r="DM63">
        <v>481</v>
      </c>
      <c r="DN63">
        <v>30</v>
      </c>
      <c r="DO63">
        <v>20</v>
      </c>
      <c r="DP63">
        <v>12</v>
      </c>
      <c r="DQ63">
        <v>0</v>
      </c>
      <c r="DR63">
        <v>0</v>
      </c>
      <c r="DS63">
        <v>1</v>
      </c>
      <c r="DT63">
        <v>0</v>
      </c>
      <c r="DU63">
        <v>0</v>
      </c>
      <c r="DV63">
        <v>1256</v>
      </c>
      <c r="DW63">
        <v>1333</v>
      </c>
      <c r="DX63">
        <v>1854</v>
      </c>
      <c r="DY63">
        <v>1998</v>
      </c>
      <c r="DZ63">
        <v>806</v>
      </c>
      <c r="EA63">
        <v>630</v>
      </c>
      <c r="EB63">
        <v>422</v>
      </c>
      <c r="EC63">
        <v>360</v>
      </c>
      <c r="ED63">
        <v>348</v>
      </c>
      <c r="EE63">
        <v>352</v>
      </c>
      <c r="EF63">
        <v>531</v>
      </c>
      <c r="EG63">
        <v>572</v>
      </c>
      <c r="EH63">
        <v>229</v>
      </c>
      <c r="EI63">
        <v>209</v>
      </c>
      <c r="EJ63">
        <v>1677</v>
      </c>
      <c r="EK63">
        <v>2504</v>
      </c>
      <c r="EL63">
        <v>928</v>
      </c>
      <c r="EM63">
        <v>483</v>
      </c>
      <c r="EN63">
        <v>459</v>
      </c>
      <c r="EO63">
        <v>702</v>
      </c>
      <c r="EP63">
        <v>295</v>
      </c>
      <c r="EQ63">
        <v>13845</v>
      </c>
      <c r="ER63">
        <v>13730</v>
      </c>
      <c r="ES63">
        <v>115</v>
      </c>
      <c r="ET63">
        <v>3001</v>
      </c>
      <c r="EU63">
        <v>8498</v>
      </c>
      <c r="EV63">
        <v>8450</v>
      </c>
      <c r="EW63">
        <v>48</v>
      </c>
      <c r="EX63">
        <v>9386</v>
      </c>
      <c r="EY63" s="26">
        <v>34.513801999999998</v>
      </c>
      <c r="EZ63" s="26">
        <v>13.623084</v>
      </c>
      <c r="FA63" s="26">
        <v>21.916174999999999</v>
      </c>
      <c r="FB63" s="26">
        <v>29.583259000000002</v>
      </c>
      <c r="FC63" s="26">
        <v>0.36368</v>
      </c>
      <c r="FD63">
        <v>2482</v>
      </c>
      <c r="FE63">
        <v>8229</v>
      </c>
      <c r="FF63">
        <v>1141</v>
      </c>
      <c r="FG63">
        <v>4463</v>
      </c>
      <c r="FH63">
        <v>11</v>
      </c>
      <c r="FI63">
        <v>3851</v>
      </c>
      <c r="FJ63">
        <v>2161</v>
      </c>
      <c r="FK63" s="26" t="s">
        <v>359</v>
      </c>
      <c r="FL63" s="26" t="s">
        <v>359</v>
      </c>
      <c r="FM63" s="26" t="s">
        <v>359</v>
      </c>
      <c r="FN63" s="26" t="s">
        <v>359</v>
      </c>
      <c r="FO63" s="28">
        <v>14103</v>
      </c>
      <c r="FP63" s="28">
        <v>8659</v>
      </c>
      <c r="FQ63">
        <v>1851</v>
      </c>
      <c r="FR63">
        <v>516</v>
      </c>
      <c r="FS63">
        <v>82</v>
      </c>
      <c r="FT63">
        <v>94</v>
      </c>
      <c r="FU63">
        <v>10419</v>
      </c>
      <c r="FV63">
        <v>38</v>
      </c>
      <c r="FW63">
        <v>92</v>
      </c>
      <c r="FX63">
        <v>19</v>
      </c>
      <c r="FY63">
        <v>15461</v>
      </c>
      <c r="FZ63">
        <v>7885</v>
      </c>
      <c r="GA63">
        <v>2002</v>
      </c>
      <c r="GB63">
        <v>626</v>
      </c>
      <c r="GC63">
        <v>99</v>
      </c>
      <c r="GD63">
        <v>78</v>
      </c>
      <c r="GE63">
        <v>11424</v>
      </c>
      <c r="GF63">
        <v>33</v>
      </c>
      <c r="GG63">
        <v>101</v>
      </c>
      <c r="GH63">
        <v>3</v>
      </c>
      <c r="GI63">
        <v>1387</v>
      </c>
      <c r="GJ63">
        <v>1707</v>
      </c>
      <c r="GK63">
        <v>1602</v>
      </c>
      <c r="GL63">
        <v>1330</v>
      </c>
      <c r="GM63">
        <v>859</v>
      </c>
      <c r="GN63">
        <v>948</v>
      </c>
      <c r="GO63">
        <v>868</v>
      </c>
      <c r="GP63">
        <v>824</v>
      </c>
      <c r="GQ63">
        <v>832</v>
      </c>
      <c r="GR63">
        <v>684</v>
      </c>
      <c r="GS63">
        <v>670</v>
      </c>
      <c r="GT63">
        <v>573</v>
      </c>
      <c r="GU63">
        <v>523</v>
      </c>
      <c r="GV63">
        <v>395</v>
      </c>
      <c r="GW63">
        <v>352</v>
      </c>
      <c r="GX63">
        <v>246</v>
      </c>
      <c r="GY63">
        <v>166</v>
      </c>
      <c r="GZ63">
        <v>137</v>
      </c>
      <c r="HA63">
        <v>1288</v>
      </c>
      <c r="HB63">
        <v>1578</v>
      </c>
      <c r="HC63">
        <v>1569</v>
      </c>
      <c r="HD63">
        <v>1313</v>
      </c>
      <c r="HE63">
        <v>1104</v>
      </c>
      <c r="HF63">
        <v>1267</v>
      </c>
      <c r="HG63">
        <v>1193</v>
      </c>
      <c r="HH63">
        <v>1042</v>
      </c>
      <c r="HI63">
        <v>981</v>
      </c>
      <c r="HJ63">
        <v>880</v>
      </c>
      <c r="HK63">
        <v>793</v>
      </c>
      <c r="HL63">
        <v>662</v>
      </c>
      <c r="HM63">
        <v>545</v>
      </c>
      <c r="HN63">
        <v>439</v>
      </c>
      <c r="HO63">
        <v>307</v>
      </c>
      <c r="HP63">
        <v>236</v>
      </c>
      <c r="HQ63">
        <v>136</v>
      </c>
      <c r="HR63">
        <v>127</v>
      </c>
      <c r="HS63">
        <v>10594</v>
      </c>
      <c r="HT63">
        <v>1</v>
      </c>
      <c r="HU63">
        <v>159</v>
      </c>
      <c r="HV63">
        <v>0</v>
      </c>
      <c r="HW63">
        <v>21</v>
      </c>
      <c r="HX63">
        <v>0</v>
      </c>
      <c r="HY63">
        <v>15</v>
      </c>
      <c r="HZ63">
        <v>3</v>
      </c>
      <c r="IA63">
        <v>1616</v>
      </c>
      <c r="IB63">
        <v>2442</v>
      </c>
      <c r="IC63">
        <v>2511</v>
      </c>
      <c r="ID63">
        <v>2541</v>
      </c>
      <c r="IE63">
        <v>1837</v>
      </c>
      <c r="IF63">
        <v>912</v>
      </c>
      <c r="IG63">
        <v>431</v>
      </c>
      <c r="IH63">
        <v>210</v>
      </c>
      <c r="II63">
        <v>239</v>
      </c>
      <c r="IJ63">
        <v>1705</v>
      </c>
      <c r="IK63">
        <v>3231</v>
      </c>
      <c r="IL63">
        <v>3790</v>
      </c>
      <c r="IM63">
        <v>2506</v>
      </c>
      <c r="IN63">
        <v>1079</v>
      </c>
      <c r="IO63">
        <v>313</v>
      </c>
      <c r="IP63">
        <v>60</v>
      </c>
      <c r="IQ63">
        <v>36</v>
      </c>
      <c r="IR63">
        <v>14</v>
      </c>
      <c r="IS63">
        <v>5424</v>
      </c>
      <c r="IT63">
        <v>5076</v>
      </c>
      <c r="IU63">
        <v>1840</v>
      </c>
      <c r="IV63">
        <v>334</v>
      </c>
      <c r="IW63">
        <v>61</v>
      </c>
      <c r="IX63">
        <v>5496</v>
      </c>
      <c r="IY63">
        <v>2301</v>
      </c>
      <c r="IZ63">
        <v>4</v>
      </c>
      <c r="JA63">
        <v>178</v>
      </c>
      <c r="JB63">
        <v>3</v>
      </c>
      <c r="JC63">
        <v>877</v>
      </c>
      <c r="JD63">
        <v>12424</v>
      </c>
      <c r="JE63">
        <v>309</v>
      </c>
      <c r="JF63">
        <v>6</v>
      </c>
      <c r="JH63" s="28">
        <v>10343.687489474678</v>
      </c>
      <c r="JI63" s="28">
        <v>458.72478466518902</v>
      </c>
      <c r="JJ63">
        <v>853</v>
      </c>
      <c r="JK63">
        <v>11223</v>
      </c>
      <c r="JL63">
        <v>658</v>
      </c>
      <c r="JM63">
        <v>5</v>
      </c>
      <c r="JN63">
        <v>10436</v>
      </c>
      <c r="JO63">
        <v>7248</v>
      </c>
      <c r="JP63">
        <v>2523</v>
      </c>
      <c r="JQ63">
        <v>7631</v>
      </c>
      <c r="JR63">
        <v>9873</v>
      </c>
      <c r="JS63">
        <v>1232</v>
      </c>
      <c r="JT63">
        <v>1155</v>
      </c>
      <c r="JU63">
        <v>10085</v>
      </c>
      <c r="JV63">
        <v>1987</v>
      </c>
      <c r="JW63" s="28"/>
      <c r="JX63" s="28"/>
      <c r="JY63" s="28"/>
      <c r="JZ63" s="28"/>
      <c r="KA63" s="28">
        <v>12570.999978850001</v>
      </c>
      <c r="KB63">
        <v>38999</v>
      </c>
      <c r="KC63">
        <v>3</v>
      </c>
      <c r="KD63">
        <v>427</v>
      </c>
      <c r="KE63">
        <v>0</v>
      </c>
      <c r="KF63">
        <v>62</v>
      </c>
      <c r="KG63">
        <v>0</v>
      </c>
      <c r="KH63">
        <v>42</v>
      </c>
      <c r="KI63">
        <v>8</v>
      </c>
      <c r="KJ63">
        <v>3246</v>
      </c>
      <c r="KK63">
        <v>40508</v>
      </c>
      <c r="KL63">
        <v>2226</v>
      </c>
      <c r="KM63">
        <v>11</v>
      </c>
      <c r="KT63">
        <v>6296</v>
      </c>
      <c r="KU63">
        <v>6141</v>
      </c>
      <c r="KV63">
        <v>5220</v>
      </c>
      <c r="KW63">
        <v>690</v>
      </c>
      <c r="KX63">
        <v>226</v>
      </c>
      <c r="KZ63">
        <v>5009</v>
      </c>
      <c r="LA63">
        <v>713</v>
      </c>
      <c r="LB63">
        <v>252</v>
      </c>
      <c r="LD63">
        <v>3701</v>
      </c>
      <c r="LE63">
        <v>3585</v>
      </c>
      <c r="LF63">
        <v>1636</v>
      </c>
      <c r="LG63">
        <v>2212</v>
      </c>
      <c r="LH63">
        <v>32233</v>
      </c>
      <c r="LI63">
        <v>51</v>
      </c>
      <c r="LJ63">
        <v>2633</v>
      </c>
      <c r="LK63">
        <v>629</v>
      </c>
      <c r="LL63">
        <v>2995</v>
      </c>
      <c r="LM63">
        <v>8</v>
      </c>
      <c r="LN63">
        <v>2089</v>
      </c>
      <c r="LO63">
        <v>884</v>
      </c>
      <c r="LP63">
        <v>51</v>
      </c>
      <c r="LQ63">
        <v>2835</v>
      </c>
      <c r="LR63">
        <v>668</v>
      </c>
      <c r="LS63">
        <v>3449</v>
      </c>
      <c r="LT63">
        <v>8</v>
      </c>
      <c r="LU63">
        <v>2118</v>
      </c>
      <c r="LV63">
        <v>825</v>
      </c>
      <c r="LW63" s="44"/>
      <c r="LX63" s="44"/>
      <c r="LY63" s="44"/>
      <c r="LZ63">
        <v>12739</v>
      </c>
      <c r="MA63">
        <v>45991</v>
      </c>
      <c r="MB63">
        <v>47932</v>
      </c>
      <c r="MC63">
        <v>150</v>
      </c>
      <c r="MD63" s="26">
        <v>11.938075999999999</v>
      </c>
      <c r="ME63" s="26">
        <v>8.3878500000000003</v>
      </c>
      <c r="MF63" s="26">
        <v>52.905407999999994</v>
      </c>
      <c r="MG63" s="26">
        <v>35.863862999999995</v>
      </c>
      <c r="MH63" s="26">
        <v>6.6959729999999995</v>
      </c>
      <c r="MI63" s="26">
        <v>2.0017269999999998</v>
      </c>
      <c r="MJ63" s="26">
        <v>12.214459999999999</v>
      </c>
      <c r="MK63" s="26">
        <v>2.4256219999999997</v>
      </c>
      <c r="ML63" s="26">
        <v>1.3187849999999999</v>
      </c>
      <c r="MM63" s="26">
        <v>43.103853999999998</v>
      </c>
      <c r="MN63" s="26">
        <v>18.078341999999999</v>
      </c>
      <c r="MO63" s="26">
        <v>-6.0240999999999996E-2</v>
      </c>
      <c r="MP63" t="s">
        <v>1027</v>
      </c>
      <c r="MQ63">
        <v>1078</v>
      </c>
      <c r="MR63">
        <v>98</v>
      </c>
    </row>
    <row r="64" spans="1:356">
      <c r="A64" t="s">
        <v>265</v>
      </c>
      <c r="B64" t="s">
        <v>266</v>
      </c>
      <c r="C64">
        <v>11147</v>
      </c>
      <c r="D64">
        <v>11451</v>
      </c>
      <c r="E64">
        <v>14714</v>
      </c>
      <c r="F64">
        <f t="shared" si="2"/>
        <v>3263</v>
      </c>
      <c r="G64" s="26">
        <f t="shared" si="3"/>
        <v>28.495327918959049</v>
      </c>
      <c r="H64">
        <v>7332</v>
      </c>
      <c r="I64">
        <v>7382</v>
      </c>
      <c r="J64">
        <v>2705</v>
      </c>
      <c r="K64">
        <v>12009</v>
      </c>
      <c r="L64">
        <v>1028</v>
      </c>
      <c r="M64">
        <v>1011</v>
      </c>
      <c r="N64">
        <v>898</v>
      </c>
      <c r="O64">
        <v>793</v>
      </c>
      <c r="P64">
        <v>586</v>
      </c>
      <c r="Q64">
        <v>560</v>
      </c>
      <c r="R64">
        <v>463</v>
      </c>
      <c r="S64">
        <v>404</v>
      </c>
      <c r="T64">
        <v>383</v>
      </c>
      <c r="U64">
        <v>295</v>
      </c>
      <c r="V64">
        <v>223</v>
      </c>
      <c r="W64">
        <v>194</v>
      </c>
      <c r="X64">
        <v>154</v>
      </c>
      <c r="Y64">
        <v>340</v>
      </c>
      <c r="Z64">
        <v>0</v>
      </c>
      <c r="AA64">
        <v>1018</v>
      </c>
      <c r="AB64">
        <v>1025</v>
      </c>
      <c r="AC64">
        <v>904</v>
      </c>
      <c r="AD64">
        <v>803</v>
      </c>
      <c r="AE64">
        <v>684</v>
      </c>
      <c r="AF64">
        <v>597</v>
      </c>
      <c r="AG64">
        <v>504</v>
      </c>
      <c r="AH64">
        <v>439</v>
      </c>
      <c r="AI64">
        <v>348</v>
      </c>
      <c r="AJ64">
        <v>271</v>
      </c>
      <c r="AK64">
        <v>202</v>
      </c>
      <c r="AL64">
        <v>173</v>
      </c>
      <c r="AM64">
        <v>137</v>
      </c>
      <c r="AN64">
        <v>277</v>
      </c>
      <c r="AO64">
        <v>0</v>
      </c>
      <c r="AP64">
        <v>14141</v>
      </c>
      <c r="AQ64">
        <v>256</v>
      </c>
      <c r="AR64">
        <v>10</v>
      </c>
      <c r="AS64">
        <v>304</v>
      </c>
      <c r="AT64">
        <v>3</v>
      </c>
      <c r="AU64">
        <v>5631</v>
      </c>
      <c r="AV64">
        <v>2770</v>
      </c>
      <c r="AW64">
        <v>2861</v>
      </c>
      <c r="AX64">
        <v>3651</v>
      </c>
      <c r="AY64">
        <v>4501</v>
      </c>
      <c r="AZ64">
        <v>4501</v>
      </c>
      <c r="BA64">
        <v>0</v>
      </c>
      <c r="BB64">
        <v>102</v>
      </c>
      <c r="BC64">
        <v>121</v>
      </c>
      <c r="BD64">
        <v>328</v>
      </c>
      <c r="BE64">
        <v>359</v>
      </c>
      <c r="BF64">
        <v>340</v>
      </c>
      <c r="BG64">
        <v>360</v>
      </c>
      <c r="BH64">
        <v>316</v>
      </c>
      <c r="BI64">
        <v>330</v>
      </c>
      <c r="BJ64">
        <v>285</v>
      </c>
      <c r="BK64">
        <v>303</v>
      </c>
      <c r="BL64">
        <v>272</v>
      </c>
      <c r="BM64">
        <v>272</v>
      </c>
      <c r="BN64">
        <v>204</v>
      </c>
      <c r="BO64">
        <v>244</v>
      </c>
      <c r="BP64">
        <v>181</v>
      </c>
      <c r="BQ64">
        <v>203</v>
      </c>
      <c r="BR64">
        <v>194</v>
      </c>
      <c r="BS64">
        <v>170</v>
      </c>
      <c r="BT64">
        <v>123</v>
      </c>
      <c r="BU64">
        <v>115</v>
      </c>
      <c r="BV64">
        <v>95</v>
      </c>
      <c r="BW64">
        <v>96</v>
      </c>
      <c r="BX64">
        <v>91</v>
      </c>
      <c r="BY64">
        <v>83</v>
      </c>
      <c r="BZ64">
        <v>74</v>
      </c>
      <c r="CA64">
        <v>66</v>
      </c>
      <c r="CB64">
        <v>165</v>
      </c>
      <c r="CC64">
        <v>139</v>
      </c>
      <c r="CD64">
        <v>2678</v>
      </c>
      <c r="CE64">
        <v>2655</v>
      </c>
      <c r="CF64">
        <v>90</v>
      </c>
      <c r="CG64">
        <v>201</v>
      </c>
      <c r="CH64">
        <v>2556</v>
      </c>
      <c r="CI64">
        <v>395</v>
      </c>
      <c r="CJ64">
        <v>13070</v>
      </c>
      <c r="CK64">
        <v>1569</v>
      </c>
      <c r="CL64">
        <v>118</v>
      </c>
      <c r="CM64">
        <v>307</v>
      </c>
      <c r="CN64">
        <v>418</v>
      </c>
      <c r="CO64">
        <v>565</v>
      </c>
      <c r="CP64">
        <v>506</v>
      </c>
      <c r="CQ64">
        <v>1037</v>
      </c>
      <c r="CR64">
        <v>2441</v>
      </c>
      <c r="CS64">
        <v>7422</v>
      </c>
      <c r="CT64">
        <v>1025</v>
      </c>
      <c r="CU64">
        <v>391</v>
      </c>
      <c r="CV64">
        <v>138</v>
      </c>
      <c r="CW64">
        <v>255</v>
      </c>
      <c r="CX64">
        <v>16</v>
      </c>
      <c r="CY64">
        <v>2031</v>
      </c>
      <c r="CZ64">
        <v>790</v>
      </c>
      <c r="DA64">
        <v>8</v>
      </c>
      <c r="DB64">
        <v>118</v>
      </c>
      <c r="DC64">
        <v>4</v>
      </c>
      <c r="DD64">
        <v>313</v>
      </c>
      <c r="DE64">
        <v>906</v>
      </c>
      <c r="DF64">
        <v>5199</v>
      </c>
      <c r="DG64">
        <v>5591</v>
      </c>
      <c r="DH64">
        <v>2705</v>
      </c>
      <c r="DI64">
        <v>0</v>
      </c>
      <c r="DJ64">
        <v>0</v>
      </c>
      <c r="DK64">
        <v>0</v>
      </c>
      <c r="DL64">
        <v>0</v>
      </c>
      <c r="DM64">
        <v>6</v>
      </c>
      <c r="DN64">
        <v>5</v>
      </c>
      <c r="DO64">
        <v>14</v>
      </c>
      <c r="DP64">
        <v>7</v>
      </c>
      <c r="DQ64">
        <v>1</v>
      </c>
      <c r="DR64">
        <v>0</v>
      </c>
      <c r="DS64">
        <v>0</v>
      </c>
      <c r="DT64">
        <v>0</v>
      </c>
      <c r="DU64">
        <v>0</v>
      </c>
      <c r="DV64">
        <v>268</v>
      </c>
      <c r="DW64">
        <v>247</v>
      </c>
      <c r="DX64">
        <v>386</v>
      </c>
      <c r="DY64">
        <v>328</v>
      </c>
      <c r="DZ64">
        <v>210</v>
      </c>
      <c r="EA64">
        <v>164</v>
      </c>
      <c r="EB64">
        <v>133</v>
      </c>
      <c r="EC64">
        <v>96</v>
      </c>
      <c r="ED64">
        <v>128</v>
      </c>
      <c r="EE64">
        <v>93</v>
      </c>
      <c r="EF64">
        <v>145</v>
      </c>
      <c r="EG64">
        <v>143</v>
      </c>
      <c r="EH64">
        <v>40</v>
      </c>
      <c r="EI64">
        <v>37</v>
      </c>
      <c r="EJ64">
        <v>437</v>
      </c>
      <c r="EK64">
        <v>624</v>
      </c>
      <c r="EL64">
        <v>304</v>
      </c>
      <c r="EM64">
        <v>178</v>
      </c>
      <c r="EN64">
        <v>173</v>
      </c>
      <c r="EO64">
        <v>229</v>
      </c>
      <c r="EP64">
        <v>60</v>
      </c>
      <c r="EQ64">
        <v>3724</v>
      </c>
      <c r="ER64">
        <v>3515</v>
      </c>
      <c r="ES64">
        <v>209</v>
      </c>
      <c r="ET64">
        <v>1155</v>
      </c>
      <c r="EU64">
        <v>594</v>
      </c>
      <c r="EV64">
        <v>526</v>
      </c>
      <c r="EW64">
        <v>68</v>
      </c>
      <c r="EX64">
        <v>4364</v>
      </c>
      <c r="EY64" s="26">
        <v>76.669149000000004</v>
      </c>
      <c r="EZ64" s="26">
        <v>8.7366589999999995</v>
      </c>
      <c r="FA64" s="26">
        <v>5.7582529999999998</v>
      </c>
      <c r="FB64" s="26">
        <v>8.6621989999999993</v>
      </c>
      <c r="FC64" s="26">
        <v>0.17374000000000001</v>
      </c>
      <c r="FD64">
        <v>524</v>
      </c>
      <c r="FE64">
        <v>2358</v>
      </c>
      <c r="FF64">
        <v>110</v>
      </c>
      <c r="FG64">
        <v>849</v>
      </c>
      <c r="FH64">
        <v>0</v>
      </c>
      <c r="FI64">
        <v>391</v>
      </c>
      <c r="FJ64">
        <v>83</v>
      </c>
      <c r="FK64" s="26" t="s">
        <v>359</v>
      </c>
      <c r="FL64" s="26" t="s">
        <v>359</v>
      </c>
      <c r="FM64" s="26" t="s">
        <v>359</v>
      </c>
      <c r="FN64" s="26" t="s">
        <v>359</v>
      </c>
      <c r="FO64" s="28">
        <v>6298</v>
      </c>
      <c r="FP64" s="28">
        <v>1032</v>
      </c>
      <c r="FQ64">
        <v>950</v>
      </c>
      <c r="FR64">
        <v>12</v>
      </c>
      <c r="FS64">
        <v>1</v>
      </c>
      <c r="FT64">
        <v>89</v>
      </c>
      <c r="FU64">
        <v>5138</v>
      </c>
      <c r="FV64">
        <v>1</v>
      </c>
      <c r="FW64">
        <v>2</v>
      </c>
      <c r="FX64">
        <v>2</v>
      </c>
      <c r="FY64">
        <v>6460</v>
      </c>
      <c r="FZ64">
        <v>921</v>
      </c>
      <c r="GA64">
        <v>922</v>
      </c>
      <c r="GB64">
        <v>11</v>
      </c>
      <c r="GC64">
        <v>5</v>
      </c>
      <c r="GD64">
        <v>79</v>
      </c>
      <c r="GE64">
        <v>5310</v>
      </c>
      <c r="GF64">
        <v>0</v>
      </c>
      <c r="GG64">
        <v>3</v>
      </c>
      <c r="GH64">
        <v>1</v>
      </c>
      <c r="GI64">
        <v>807</v>
      </c>
      <c r="GJ64">
        <v>888</v>
      </c>
      <c r="GK64">
        <v>797</v>
      </c>
      <c r="GL64">
        <v>691</v>
      </c>
      <c r="GM64">
        <v>487</v>
      </c>
      <c r="GN64">
        <v>482</v>
      </c>
      <c r="GO64">
        <v>402</v>
      </c>
      <c r="GP64">
        <v>372</v>
      </c>
      <c r="GQ64">
        <v>334</v>
      </c>
      <c r="GR64">
        <v>253</v>
      </c>
      <c r="GS64">
        <v>192</v>
      </c>
      <c r="GT64">
        <v>172</v>
      </c>
      <c r="GU64">
        <v>125</v>
      </c>
      <c r="GV64">
        <v>97</v>
      </c>
      <c r="GW64">
        <v>66</v>
      </c>
      <c r="GX64">
        <v>64</v>
      </c>
      <c r="GY64">
        <v>35</v>
      </c>
      <c r="GZ64">
        <v>34</v>
      </c>
      <c r="HA64">
        <v>825</v>
      </c>
      <c r="HB64">
        <v>904</v>
      </c>
      <c r="HC64">
        <v>808</v>
      </c>
      <c r="HD64">
        <v>683</v>
      </c>
      <c r="HE64">
        <v>586</v>
      </c>
      <c r="HF64">
        <v>538</v>
      </c>
      <c r="HG64">
        <v>468</v>
      </c>
      <c r="HH64">
        <v>405</v>
      </c>
      <c r="HI64">
        <v>308</v>
      </c>
      <c r="HJ64">
        <v>242</v>
      </c>
      <c r="HK64">
        <v>178</v>
      </c>
      <c r="HL64">
        <v>149</v>
      </c>
      <c r="HM64">
        <v>123</v>
      </c>
      <c r="HN64">
        <v>84</v>
      </c>
      <c r="HO64">
        <v>68</v>
      </c>
      <c r="HP64">
        <v>49</v>
      </c>
      <c r="HQ64">
        <v>27</v>
      </c>
      <c r="HR64">
        <v>15</v>
      </c>
      <c r="HS64">
        <v>2387</v>
      </c>
      <c r="HT64">
        <v>0</v>
      </c>
      <c r="HU64">
        <v>21</v>
      </c>
      <c r="HV64">
        <v>0</v>
      </c>
      <c r="HW64">
        <v>44</v>
      </c>
      <c r="HX64">
        <v>0</v>
      </c>
      <c r="HY64">
        <v>2</v>
      </c>
      <c r="HZ64">
        <v>0</v>
      </c>
      <c r="IA64">
        <v>116</v>
      </c>
      <c r="IB64">
        <v>295</v>
      </c>
      <c r="IC64">
        <v>411</v>
      </c>
      <c r="ID64">
        <v>558</v>
      </c>
      <c r="IE64">
        <v>499</v>
      </c>
      <c r="IF64">
        <v>401</v>
      </c>
      <c r="IG64">
        <v>215</v>
      </c>
      <c r="IH64">
        <v>156</v>
      </c>
      <c r="II64">
        <v>254</v>
      </c>
      <c r="IJ64">
        <v>377</v>
      </c>
      <c r="IK64">
        <v>970</v>
      </c>
      <c r="IL64">
        <v>827</v>
      </c>
      <c r="IM64">
        <v>454</v>
      </c>
      <c r="IN64">
        <v>210</v>
      </c>
      <c r="IO64">
        <v>39</v>
      </c>
      <c r="IP64">
        <v>15</v>
      </c>
      <c r="IQ64">
        <v>4</v>
      </c>
      <c r="IR64">
        <v>9</v>
      </c>
      <c r="IS64">
        <v>1272</v>
      </c>
      <c r="IT64">
        <v>995</v>
      </c>
      <c r="IU64">
        <v>430</v>
      </c>
      <c r="IV64">
        <v>176</v>
      </c>
      <c r="IW64">
        <v>32</v>
      </c>
      <c r="IX64">
        <v>485</v>
      </c>
      <c r="IY64">
        <v>1022</v>
      </c>
      <c r="IZ64">
        <v>31</v>
      </c>
      <c r="JA64">
        <v>37</v>
      </c>
      <c r="JB64">
        <v>0</v>
      </c>
      <c r="JC64">
        <v>252</v>
      </c>
      <c r="JD64">
        <v>1711</v>
      </c>
      <c r="JE64">
        <v>1194</v>
      </c>
      <c r="JF64">
        <v>0</v>
      </c>
      <c r="JH64" s="28">
        <v>1940.6812737348566</v>
      </c>
      <c r="JI64" s="28">
        <v>46.256569305606853</v>
      </c>
      <c r="JJ64">
        <v>349</v>
      </c>
      <c r="JK64">
        <v>2467</v>
      </c>
      <c r="JL64">
        <v>89</v>
      </c>
      <c r="JM64">
        <v>0</v>
      </c>
      <c r="JN64">
        <v>1162</v>
      </c>
      <c r="JO64">
        <v>693</v>
      </c>
      <c r="JP64">
        <v>342</v>
      </c>
      <c r="JQ64">
        <v>816</v>
      </c>
      <c r="JR64">
        <v>1483</v>
      </c>
      <c r="JS64">
        <v>83</v>
      </c>
      <c r="JT64">
        <v>50</v>
      </c>
      <c r="JU64">
        <v>972</v>
      </c>
      <c r="JV64">
        <v>346</v>
      </c>
      <c r="JW64" s="28"/>
      <c r="JX64" s="28"/>
      <c r="JY64" s="28"/>
      <c r="JZ64" s="28"/>
      <c r="KA64" s="28">
        <v>2816.0000088500001</v>
      </c>
      <c r="KB64">
        <v>12194</v>
      </c>
      <c r="KC64">
        <v>0</v>
      </c>
      <c r="KD64">
        <v>74</v>
      </c>
      <c r="KE64">
        <v>0</v>
      </c>
      <c r="KF64">
        <v>173</v>
      </c>
      <c r="KG64">
        <v>0</v>
      </c>
      <c r="KH64">
        <v>9</v>
      </c>
      <c r="KI64">
        <v>0</v>
      </c>
      <c r="KJ64">
        <v>1923</v>
      </c>
      <c r="KK64">
        <v>12156</v>
      </c>
      <c r="KL64">
        <v>378</v>
      </c>
      <c r="KM64">
        <v>0</v>
      </c>
      <c r="KT64">
        <v>2089</v>
      </c>
      <c r="KU64">
        <v>2064</v>
      </c>
      <c r="KV64">
        <v>1871</v>
      </c>
      <c r="KW64">
        <v>131</v>
      </c>
      <c r="KX64">
        <v>19</v>
      </c>
      <c r="KZ64">
        <v>1844</v>
      </c>
      <c r="LA64">
        <v>106</v>
      </c>
      <c r="LB64">
        <v>25</v>
      </c>
      <c r="LD64">
        <v>1303</v>
      </c>
      <c r="LE64">
        <v>1334</v>
      </c>
      <c r="LF64">
        <v>668</v>
      </c>
      <c r="LG64">
        <v>1028</v>
      </c>
      <c r="LH64">
        <v>8830</v>
      </c>
      <c r="LI64">
        <v>6</v>
      </c>
      <c r="LJ64">
        <v>1300</v>
      </c>
      <c r="LK64">
        <v>153</v>
      </c>
      <c r="LL64">
        <v>830</v>
      </c>
      <c r="LM64">
        <v>0</v>
      </c>
      <c r="LN64">
        <v>350</v>
      </c>
      <c r="LO64">
        <v>39</v>
      </c>
      <c r="LP64">
        <v>10</v>
      </c>
      <c r="LQ64">
        <v>1307</v>
      </c>
      <c r="LR64">
        <v>101</v>
      </c>
      <c r="LS64">
        <v>877</v>
      </c>
      <c r="LT64">
        <v>1</v>
      </c>
      <c r="LU64">
        <v>232</v>
      </c>
      <c r="LV64">
        <v>22</v>
      </c>
      <c r="LW64" s="44"/>
      <c r="LX64" s="44"/>
      <c r="LY64" s="44"/>
      <c r="LZ64">
        <v>2905</v>
      </c>
      <c r="MA64">
        <v>14457</v>
      </c>
      <c r="MB64">
        <v>12945</v>
      </c>
      <c r="MC64">
        <v>5431</v>
      </c>
      <c r="MD64" s="26">
        <v>19.207248</v>
      </c>
      <c r="ME64" s="26">
        <v>17.481909999999999</v>
      </c>
      <c r="MF64" s="26">
        <v>69.365797999999998</v>
      </c>
      <c r="MG64" s="26">
        <v>13.273073</v>
      </c>
      <c r="MH64" s="26">
        <v>12.013769</v>
      </c>
      <c r="MI64" s="26">
        <v>2.8227189999999998</v>
      </c>
      <c r="MJ64" s="26">
        <v>17.246126999999998</v>
      </c>
      <c r="MK64" s="26">
        <v>41.101548999999999</v>
      </c>
      <c r="ML64" s="26">
        <v>3.0636829999999997</v>
      </c>
      <c r="MM64" s="26">
        <v>76.144577999999996</v>
      </c>
      <c r="MN64" s="26">
        <v>60</v>
      </c>
      <c r="MO64" s="26">
        <v>1.6456299999999999</v>
      </c>
      <c r="MP64" t="s">
        <v>1028</v>
      </c>
      <c r="MQ64">
        <v>188</v>
      </c>
      <c r="MR64">
        <v>22</v>
      </c>
    </row>
    <row r="65" spans="1:356">
      <c r="A65" t="s">
        <v>267</v>
      </c>
      <c r="B65" t="s">
        <v>268</v>
      </c>
      <c r="C65">
        <v>8580</v>
      </c>
      <c r="D65">
        <v>9856</v>
      </c>
      <c r="E65">
        <v>12892</v>
      </c>
      <c r="F65">
        <f t="shared" si="2"/>
        <v>3036</v>
      </c>
      <c r="G65" s="26">
        <f t="shared" si="3"/>
        <v>30.803571428571416</v>
      </c>
      <c r="H65">
        <v>6498</v>
      </c>
      <c r="I65">
        <v>6394</v>
      </c>
      <c r="J65">
        <v>2769</v>
      </c>
      <c r="K65">
        <v>10123</v>
      </c>
      <c r="L65">
        <v>816</v>
      </c>
      <c r="M65">
        <v>899</v>
      </c>
      <c r="N65">
        <v>751</v>
      </c>
      <c r="O65">
        <v>707</v>
      </c>
      <c r="P65">
        <v>541</v>
      </c>
      <c r="Q65">
        <v>507</v>
      </c>
      <c r="R65">
        <v>433</v>
      </c>
      <c r="S65">
        <v>357</v>
      </c>
      <c r="T65">
        <v>319</v>
      </c>
      <c r="U65">
        <v>286</v>
      </c>
      <c r="V65">
        <v>240</v>
      </c>
      <c r="W65">
        <v>197</v>
      </c>
      <c r="X65">
        <v>130</v>
      </c>
      <c r="Y65">
        <v>315</v>
      </c>
      <c r="Z65">
        <v>0</v>
      </c>
      <c r="AA65">
        <v>827</v>
      </c>
      <c r="AB65">
        <v>866</v>
      </c>
      <c r="AC65">
        <v>744</v>
      </c>
      <c r="AD65">
        <v>713</v>
      </c>
      <c r="AE65">
        <v>538</v>
      </c>
      <c r="AF65">
        <v>549</v>
      </c>
      <c r="AG65">
        <v>429</v>
      </c>
      <c r="AH65">
        <v>389</v>
      </c>
      <c r="AI65">
        <v>330</v>
      </c>
      <c r="AJ65">
        <v>278</v>
      </c>
      <c r="AK65">
        <v>200</v>
      </c>
      <c r="AL65">
        <v>157</v>
      </c>
      <c r="AM65">
        <v>128</v>
      </c>
      <c r="AN65">
        <v>246</v>
      </c>
      <c r="AO65">
        <v>0</v>
      </c>
      <c r="AP65">
        <v>11232</v>
      </c>
      <c r="AQ65">
        <v>1369</v>
      </c>
      <c r="AR65">
        <v>24</v>
      </c>
      <c r="AS65">
        <v>263</v>
      </c>
      <c r="AT65">
        <v>4</v>
      </c>
      <c r="AU65">
        <v>4637</v>
      </c>
      <c r="AV65">
        <v>2349</v>
      </c>
      <c r="AW65">
        <v>2288</v>
      </c>
      <c r="AX65">
        <v>2583</v>
      </c>
      <c r="AY65">
        <v>4051</v>
      </c>
      <c r="AZ65">
        <v>4051</v>
      </c>
      <c r="BA65">
        <v>0</v>
      </c>
      <c r="BB65">
        <v>96</v>
      </c>
      <c r="BC65">
        <v>88</v>
      </c>
      <c r="BD65">
        <v>280</v>
      </c>
      <c r="BE65">
        <v>278</v>
      </c>
      <c r="BF65">
        <v>266</v>
      </c>
      <c r="BG65">
        <v>236</v>
      </c>
      <c r="BH65">
        <v>292</v>
      </c>
      <c r="BI65">
        <v>290</v>
      </c>
      <c r="BJ65">
        <v>209</v>
      </c>
      <c r="BK65">
        <v>220</v>
      </c>
      <c r="BL65">
        <v>204</v>
      </c>
      <c r="BM65">
        <v>204</v>
      </c>
      <c r="BN65">
        <v>193</v>
      </c>
      <c r="BO65">
        <v>191</v>
      </c>
      <c r="BP65">
        <v>138</v>
      </c>
      <c r="BQ65">
        <v>173</v>
      </c>
      <c r="BR65">
        <v>128</v>
      </c>
      <c r="BS65">
        <v>136</v>
      </c>
      <c r="BT65">
        <v>119</v>
      </c>
      <c r="BU65">
        <v>137</v>
      </c>
      <c r="BV65">
        <v>113</v>
      </c>
      <c r="BW65">
        <v>96</v>
      </c>
      <c r="BX65">
        <v>99</v>
      </c>
      <c r="BY65">
        <v>77</v>
      </c>
      <c r="BZ65">
        <v>62</v>
      </c>
      <c r="CA65">
        <v>53</v>
      </c>
      <c r="CB65">
        <v>150</v>
      </c>
      <c r="CC65">
        <v>109</v>
      </c>
      <c r="CD65">
        <v>2220</v>
      </c>
      <c r="CE65">
        <v>2062</v>
      </c>
      <c r="CF65">
        <v>118</v>
      </c>
      <c r="CG65">
        <v>213</v>
      </c>
      <c r="CH65">
        <v>2369</v>
      </c>
      <c r="CI65">
        <v>528</v>
      </c>
      <c r="CJ65">
        <v>10846</v>
      </c>
      <c r="CK65">
        <v>2012</v>
      </c>
      <c r="CL65">
        <v>188</v>
      </c>
      <c r="CM65">
        <v>389</v>
      </c>
      <c r="CN65">
        <v>487</v>
      </c>
      <c r="CO65">
        <v>585</v>
      </c>
      <c r="CP65">
        <v>479</v>
      </c>
      <c r="CQ65">
        <v>769</v>
      </c>
      <c r="CR65">
        <v>2273</v>
      </c>
      <c r="CS65">
        <v>6347</v>
      </c>
      <c r="CT65">
        <v>742</v>
      </c>
      <c r="CU65">
        <v>269</v>
      </c>
      <c r="CV65">
        <v>83</v>
      </c>
      <c r="CW65">
        <v>198</v>
      </c>
      <c r="CX65">
        <v>49</v>
      </c>
      <c r="CY65">
        <v>2078</v>
      </c>
      <c r="CZ65">
        <v>599</v>
      </c>
      <c r="DA65">
        <v>31</v>
      </c>
      <c r="DB65">
        <v>188</v>
      </c>
      <c r="DC65">
        <v>1</v>
      </c>
      <c r="DD65">
        <v>20</v>
      </c>
      <c r="DE65">
        <v>2125</v>
      </c>
      <c r="DF65">
        <v>2457</v>
      </c>
      <c r="DG65">
        <v>5521</v>
      </c>
      <c r="DH65">
        <v>2769</v>
      </c>
      <c r="DI65">
        <v>0</v>
      </c>
      <c r="DJ65">
        <v>0</v>
      </c>
      <c r="DK65">
        <v>0</v>
      </c>
      <c r="DL65">
        <v>0</v>
      </c>
      <c r="DM65">
        <v>2</v>
      </c>
      <c r="DN65">
        <v>11</v>
      </c>
      <c r="DO65">
        <v>7</v>
      </c>
      <c r="DP65">
        <v>6</v>
      </c>
      <c r="DQ65">
        <v>1</v>
      </c>
      <c r="DR65">
        <v>0</v>
      </c>
      <c r="DS65">
        <v>0</v>
      </c>
      <c r="DT65">
        <v>0</v>
      </c>
      <c r="DU65">
        <v>0</v>
      </c>
      <c r="DV65">
        <v>250</v>
      </c>
      <c r="DW65">
        <v>235</v>
      </c>
      <c r="DX65">
        <v>403</v>
      </c>
      <c r="DY65">
        <v>403</v>
      </c>
      <c r="DZ65">
        <v>233</v>
      </c>
      <c r="EA65">
        <v>167</v>
      </c>
      <c r="EB65">
        <v>149</v>
      </c>
      <c r="EC65">
        <v>138</v>
      </c>
      <c r="ED65">
        <v>117</v>
      </c>
      <c r="EE65">
        <v>94</v>
      </c>
      <c r="EF65">
        <v>151</v>
      </c>
      <c r="EG65">
        <v>150</v>
      </c>
      <c r="EH65">
        <v>74</v>
      </c>
      <c r="EI65">
        <v>74</v>
      </c>
      <c r="EJ65">
        <v>386</v>
      </c>
      <c r="EK65">
        <v>631</v>
      </c>
      <c r="EL65">
        <v>319</v>
      </c>
      <c r="EM65">
        <v>208</v>
      </c>
      <c r="EN65">
        <v>157</v>
      </c>
      <c r="EO65">
        <v>237</v>
      </c>
      <c r="EP65">
        <v>109</v>
      </c>
      <c r="EQ65">
        <v>3573</v>
      </c>
      <c r="ER65">
        <v>3509</v>
      </c>
      <c r="ES65">
        <v>64</v>
      </c>
      <c r="ET65">
        <v>866</v>
      </c>
      <c r="EU65">
        <v>1262</v>
      </c>
      <c r="EV65">
        <v>1255</v>
      </c>
      <c r="EW65">
        <v>7</v>
      </c>
      <c r="EX65">
        <v>3139</v>
      </c>
      <c r="EY65" s="26">
        <v>79.792446999999996</v>
      </c>
      <c r="EZ65" s="26">
        <v>4.3816670000000002</v>
      </c>
      <c r="FA65" s="26">
        <v>6.0824449999999999</v>
      </c>
      <c r="FB65" s="26">
        <v>9.6281350000000003</v>
      </c>
      <c r="FC65" s="26">
        <v>0.11530700000000001</v>
      </c>
      <c r="FD65">
        <v>814</v>
      </c>
      <c r="FE65">
        <v>1979</v>
      </c>
      <c r="FF65">
        <v>176</v>
      </c>
      <c r="FG65">
        <v>1029</v>
      </c>
      <c r="FH65">
        <v>3</v>
      </c>
      <c r="FI65">
        <v>621</v>
      </c>
      <c r="FJ65">
        <v>210</v>
      </c>
      <c r="FK65" s="26" t="s">
        <v>359</v>
      </c>
      <c r="FL65" s="26" t="s">
        <v>359</v>
      </c>
      <c r="FM65" s="26" t="s">
        <v>359</v>
      </c>
      <c r="FN65" s="26" t="s">
        <v>359</v>
      </c>
      <c r="FO65" s="28">
        <v>5127</v>
      </c>
      <c r="FP65" s="28">
        <v>1371</v>
      </c>
      <c r="FQ65">
        <v>638</v>
      </c>
      <c r="FR65">
        <v>27</v>
      </c>
      <c r="FS65">
        <v>1</v>
      </c>
      <c r="FT65">
        <v>5</v>
      </c>
      <c r="FU65">
        <v>4019</v>
      </c>
      <c r="FV65">
        <v>50</v>
      </c>
      <c r="FW65">
        <v>93</v>
      </c>
      <c r="FX65">
        <v>0</v>
      </c>
      <c r="FY65">
        <v>5142</v>
      </c>
      <c r="FZ65">
        <v>1251</v>
      </c>
      <c r="GA65">
        <v>651</v>
      </c>
      <c r="GB65">
        <v>24</v>
      </c>
      <c r="GC65">
        <v>2</v>
      </c>
      <c r="GD65">
        <v>2</v>
      </c>
      <c r="GE65">
        <v>4019</v>
      </c>
      <c r="GF65">
        <v>38</v>
      </c>
      <c r="GG65">
        <v>63</v>
      </c>
      <c r="GH65">
        <v>1</v>
      </c>
      <c r="GI65">
        <v>602</v>
      </c>
      <c r="GJ65">
        <v>756</v>
      </c>
      <c r="GK65">
        <v>618</v>
      </c>
      <c r="GL65">
        <v>569</v>
      </c>
      <c r="GM65">
        <v>387</v>
      </c>
      <c r="GN65">
        <v>390</v>
      </c>
      <c r="GO65">
        <v>340</v>
      </c>
      <c r="GP65">
        <v>283</v>
      </c>
      <c r="GQ65">
        <v>246</v>
      </c>
      <c r="GR65">
        <v>233</v>
      </c>
      <c r="GS65">
        <v>190</v>
      </c>
      <c r="GT65">
        <v>157</v>
      </c>
      <c r="GU65">
        <v>101</v>
      </c>
      <c r="GV65">
        <v>85</v>
      </c>
      <c r="GW65">
        <v>68</v>
      </c>
      <c r="GX65">
        <v>46</v>
      </c>
      <c r="GY65">
        <v>30</v>
      </c>
      <c r="GZ65">
        <v>26</v>
      </c>
      <c r="HA65">
        <v>579</v>
      </c>
      <c r="HB65">
        <v>719</v>
      </c>
      <c r="HC65">
        <v>624</v>
      </c>
      <c r="HD65">
        <v>542</v>
      </c>
      <c r="HE65">
        <v>418</v>
      </c>
      <c r="HF65">
        <v>457</v>
      </c>
      <c r="HG65">
        <v>361</v>
      </c>
      <c r="HH65">
        <v>327</v>
      </c>
      <c r="HI65">
        <v>277</v>
      </c>
      <c r="HJ65">
        <v>243</v>
      </c>
      <c r="HK65">
        <v>157</v>
      </c>
      <c r="HL65">
        <v>135</v>
      </c>
      <c r="HM65">
        <v>96</v>
      </c>
      <c r="HN65">
        <v>80</v>
      </c>
      <c r="HO65">
        <v>57</v>
      </c>
      <c r="HP65">
        <v>34</v>
      </c>
      <c r="HQ65">
        <v>22</v>
      </c>
      <c r="HR65">
        <v>14</v>
      </c>
      <c r="HS65">
        <v>2329</v>
      </c>
      <c r="HT65">
        <v>0</v>
      </c>
      <c r="HU65">
        <v>4</v>
      </c>
      <c r="HV65">
        <v>0</v>
      </c>
      <c r="HW65">
        <v>41</v>
      </c>
      <c r="HX65">
        <v>0</v>
      </c>
      <c r="HY65">
        <v>0</v>
      </c>
      <c r="HZ65">
        <v>0</v>
      </c>
      <c r="IA65">
        <v>184</v>
      </c>
      <c r="IB65">
        <v>382</v>
      </c>
      <c r="IC65">
        <v>479</v>
      </c>
      <c r="ID65">
        <v>576</v>
      </c>
      <c r="IE65">
        <v>474</v>
      </c>
      <c r="IF65">
        <v>304</v>
      </c>
      <c r="IG65">
        <v>174</v>
      </c>
      <c r="IH65">
        <v>128</v>
      </c>
      <c r="II65">
        <v>155</v>
      </c>
      <c r="IJ65">
        <v>354</v>
      </c>
      <c r="IK65">
        <v>734</v>
      </c>
      <c r="IL65">
        <v>920</v>
      </c>
      <c r="IM65">
        <v>529</v>
      </c>
      <c r="IN65">
        <v>209</v>
      </c>
      <c r="IO65">
        <v>83</v>
      </c>
      <c r="IP65">
        <v>16</v>
      </c>
      <c r="IQ65">
        <v>5</v>
      </c>
      <c r="IR65">
        <v>6</v>
      </c>
      <c r="IS65">
        <v>1026</v>
      </c>
      <c r="IT65">
        <v>1226</v>
      </c>
      <c r="IU65">
        <v>407</v>
      </c>
      <c r="IV65">
        <v>167</v>
      </c>
      <c r="IW65">
        <v>30</v>
      </c>
      <c r="IX65">
        <v>363</v>
      </c>
      <c r="IY65">
        <v>897</v>
      </c>
      <c r="IZ65">
        <v>3</v>
      </c>
      <c r="JA65">
        <v>121</v>
      </c>
      <c r="JB65">
        <v>0</v>
      </c>
      <c r="JC65">
        <v>143</v>
      </c>
      <c r="JD65">
        <v>2443</v>
      </c>
      <c r="JE65">
        <v>413</v>
      </c>
      <c r="JF65">
        <v>0</v>
      </c>
      <c r="JH65" s="28">
        <v>1630.1736862266259</v>
      </c>
      <c r="JI65" s="28">
        <v>263.48582865423839</v>
      </c>
      <c r="JJ65">
        <v>256</v>
      </c>
      <c r="JK65">
        <v>2523</v>
      </c>
      <c r="JL65">
        <v>77</v>
      </c>
      <c r="JM65">
        <v>0</v>
      </c>
      <c r="JN65">
        <v>1781</v>
      </c>
      <c r="JO65">
        <v>1217</v>
      </c>
      <c r="JP65">
        <v>505</v>
      </c>
      <c r="JQ65">
        <v>808</v>
      </c>
      <c r="JR65">
        <v>1730</v>
      </c>
      <c r="JS65">
        <v>126</v>
      </c>
      <c r="JT65">
        <v>53</v>
      </c>
      <c r="JU65">
        <v>1466</v>
      </c>
      <c r="JV65">
        <v>103</v>
      </c>
      <c r="JW65" s="28"/>
      <c r="JX65" s="28"/>
      <c r="JY65" s="28"/>
      <c r="JZ65" s="28"/>
      <c r="KA65" s="28">
        <v>2815.0000065600002</v>
      </c>
      <c r="KB65">
        <v>10598</v>
      </c>
      <c r="KC65">
        <v>0</v>
      </c>
      <c r="KD65">
        <v>9</v>
      </c>
      <c r="KE65">
        <v>0</v>
      </c>
      <c r="KF65">
        <v>155</v>
      </c>
      <c r="KG65">
        <v>0</v>
      </c>
      <c r="KH65">
        <v>0</v>
      </c>
      <c r="KI65">
        <v>0</v>
      </c>
      <c r="KJ65">
        <v>1215</v>
      </c>
      <c r="KK65">
        <v>11184</v>
      </c>
      <c r="KL65">
        <v>304</v>
      </c>
      <c r="KM65">
        <v>0</v>
      </c>
      <c r="KT65">
        <v>1936</v>
      </c>
      <c r="KU65">
        <v>1879</v>
      </c>
      <c r="KV65">
        <v>1671</v>
      </c>
      <c r="KW65">
        <v>182</v>
      </c>
      <c r="KX65">
        <v>39</v>
      </c>
      <c r="KZ65">
        <v>1628</v>
      </c>
      <c r="LA65">
        <v>172</v>
      </c>
      <c r="LB65">
        <v>31</v>
      </c>
      <c r="LD65">
        <v>1075</v>
      </c>
      <c r="LE65">
        <v>1068</v>
      </c>
      <c r="LF65">
        <v>617</v>
      </c>
      <c r="LG65">
        <v>883</v>
      </c>
      <c r="LH65">
        <v>7989</v>
      </c>
      <c r="LI65">
        <v>9</v>
      </c>
      <c r="LJ65">
        <v>813</v>
      </c>
      <c r="LK65">
        <v>151</v>
      </c>
      <c r="LL65">
        <v>836</v>
      </c>
      <c r="LM65">
        <v>3</v>
      </c>
      <c r="LN65">
        <v>431</v>
      </c>
      <c r="LO65">
        <v>96</v>
      </c>
      <c r="LP65">
        <v>8</v>
      </c>
      <c r="LQ65">
        <v>774</v>
      </c>
      <c r="LR65">
        <v>115</v>
      </c>
      <c r="LS65">
        <v>888</v>
      </c>
      <c r="LT65">
        <v>1</v>
      </c>
      <c r="LU65">
        <v>356</v>
      </c>
      <c r="LV65">
        <v>85</v>
      </c>
      <c r="LW65" s="44"/>
      <c r="LX65" s="44"/>
      <c r="LY65" s="44"/>
      <c r="LZ65">
        <v>2856</v>
      </c>
      <c r="MA65">
        <v>12703</v>
      </c>
      <c r="MB65">
        <v>11444</v>
      </c>
      <c r="MC65">
        <v>5064</v>
      </c>
      <c r="MD65" s="26">
        <v>18.775817</v>
      </c>
      <c r="ME65" s="26">
        <v>12.863496</v>
      </c>
      <c r="MF65" s="26">
        <v>59.682062999999999</v>
      </c>
      <c r="MG65" s="26">
        <v>20.338193999999998</v>
      </c>
      <c r="MH65" s="26">
        <v>8.9635850000000001</v>
      </c>
      <c r="MI65" s="26">
        <v>5.5322129999999996</v>
      </c>
      <c r="MJ65" s="26">
        <v>20.343136999999999</v>
      </c>
      <c r="MK65" s="26">
        <v>14.460783999999999</v>
      </c>
      <c r="ML65" s="26">
        <v>1.4355739999999999</v>
      </c>
      <c r="MM65" s="26">
        <v>57.387954999999998</v>
      </c>
      <c r="MN65" s="26">
        <v>37.640056000000001</v>
      </c>
      <c r="MO65" s="26">
        <v>0.85033999999999998</v>
      </c>
      <c r="MP65" t="s">
        <v>1029</v>
      </c>
      <c r="MQ65">
        <v>428</v>
      </c>
      <c r="MR65">
        <v>39</v>
      </c>
    </row>
    <row r="66" spans="1:356">
      <c r="A66" t="s">
        <v>143</v>
      </c>
      <c r="B66" t="s">
        <v>144</v>
      </c>
      <c r="C66">
        <v>7180</v>
      </c>
      <c r="D66">
        <v>7793</v>
      </c>
      <c r="E66">
        <v>7901</v>
      </c>
      <c r="F66">
        <f t="shared" si="2"/>
        <v>108</v>
      </c>
      <c r="G66" s="26">
        <f t="shared" si="3"/>
        <v>1.385859104324382</v>
      </c>
      <c r="H66">
        <v>3895</v>
      </c>
      <c r="I66">
        <v>4006</v>
      </c>
      <c r="J66">
        <v>0</v>
      </c>
      <c r="K66">
        <v>7901</v>
      </c>
      <c r="L66">
        <v>405</v>
      </c>
      <c r="M66">
        <v>473</v>
      </c>
      <c r="N66">
        <v>496</v>
      </c>
      <c r="O66">
        <v>368</v>
      </c>
      <c r="P66">
        <v>270</v>
      </c>
      <c r="Q66">
        <v>215</v>
      </c>
      <c r="R66">
        <v>244</v>
      </c>
      <c r="S66">
        <v>246</v>
      </c>
      <c r="T66">
        <v>198</v>
      </c>
      <c r="U66">
        <v>171</v>
      </c>
      <c r="V66">
        <v>173</v>
      </c>
      <c r="W66">
        <v>129</v>
      </c>
      <c r="X66">
        <v>127</v>
      </c>
      <c r="Y66">
        <v>380</v>
      </c>
      <c r="Z66">
        <v>0</v>
      </c>
      <c r="AA66">
        <v>394</v>
      </c>
      <c r="AB66">
        <v>477</v>
      </c>
      <c r="AC66">
        <v>484</v>
      </c>
      <c r="AD66">
        <v>387</v>
      </c>
      <c r="AE66">
        <v>248</v>
      </c>
      <c r="AF66">
        <v>268</v>
      </c>
      <c r="AG66">
        <v>280</v>
      </c>
      <c r="AH66">
        <v>255</v>
      </c>
      <c r="AI66">
        <v>206</v>
      </c>
      <c r="AJ66">
        <v>185</v>
      </c>
      <c r="AK66">
        <v>173</v>
      </c>
      <c r="AL66">
        <v>150</v>
      </c>
      <c r="AM66">
        <v>121</v>
      </c>
      <c r="AN66">
        <v>378</v>
      </c>
      <c r="AO66">
        <v>0</v>
      </c>
      <c r="AP66">
        <v>7714</v>
      </c>
      <c r="AQ66">
        <v>45</v>
      </c>
      <c r="AR66">
        <v>29</v>
      </c>
      <c r="AS66">
        <v>105</v>
      </c>
      <c r="AT66">
        <v>8</v>
      </c>
      <c r="AU66">
        <v>258</v>
      </c>
      <c r="AV66">
        <v>162</v>
      </c>
      <c r="AW66">
        <v>96</v>
      </c>
      <c r="AX66">
        <v>259</v>
      </c>
      <c r="AY66">
        <v>148</v>
      </c>
      <c r="AZ66">
        <v>148</v>
      </c>
      <c r="BA66">
        <v>0</v>
      </c>
      <c r="BB66">
        <v>0</v>
      </c>
      <c r="BC66">
        <v>0</v>
      </c>
      <c r="BD66">
        <v>3</v>
      </c>
      <c r="BE66">
        <v>1</v>
      </c>
      <c r="BF66">
        <v>1</v>
      </c>
      <c r="BG66">
        <v>3</v>
      </c>
      <c r="BH66">
        <v>2</v>
      </c>
      <c r="BI66">
        <v>1</v>
      </c>
      <c r="BJ66">
        <v>1</v>
      </c>
      <c r="BK66">
        <v>3</v>
      </c>
      <c r="BL66">
        <v>3</v>
      </c>
      <c r="BM66">
        <v>4</v>
      </c>
      <c r="BN66">
        <v>4</v>
      </c>
      <c r="BO66">
        <v>2</v>
      </c>
      <c r="BP66">
        <v>8</v>
      </c>
      <c r="BQ66">
        <v>5</v>
      </c>
      <c r="BR66">
        <v>8</v>
      </c>
      <c r="BS66">
        <v>6</v>
      </c>
      <c r="BT66">
        <v>10</v>
      </c>
      <c r="BU66">
        <v>3</v>
      </c>
      <c r="BV66">
        <v>15</v>
      </c>
      <c r="BW66">
        <v>8</v>
      </c>
      <c r="BX66">
        <v>14</v>
      </c>
      <c r="BY66">
        <v>12</v>
      </c>
      <c r="BZ66">
        <v>19</v>
      </c>
      <c r="CA66">
        <v>7</v>
      </c>
      <c r="CB66">
        <v>74</v>
      </c>
      <c r="CC66">
        <v>41</v>
      </c>
      <c r="CD66">
        <v>162</v>
      </c>
      <c r="CE66">
        <v>96</v>
      </c>
      <c r="CF66">
        <v>0</v>
      </c>
      <c r="CG66">
        <v>0</v>
      </c>
      <c r="CH66">
        <v>1183</v>
      </c>
      <c r="CI66">
        <v>512</v>
      </c>
      <c r="CJ66">
        <v>5663</v>
      </c>
      <c r="CK66">
        <v>2238</v>
      </c>
      <c r="CL66">
        <v>131</v>
      </c>
      <c r="CM66">
        <v>208</v>
      </c>
      <c r="CN66">
        <v>241</v>
      </c>
      <c r="CO66">
        <v>313</v>
      </c>
      <c r="CP66">
        <v>259</v>
      </c>
      <c r="CQ66">
        <v>543</v>
      </c>
      <c r="CR66">
        <v>1254</v>
      </c>
      <c r="CS66">
        <v>3586</v>
      </c>
      <c r="CT66">
        <v>808</v>
      </c>
      <c r="CU66">
        <v>239</v>
      </c>
      <c r="CV66">
        <v>144</v>
      </c>
      <c r="CW66">
        <v>173</v>
      </c>
      <c r="CX66">
        <v>2</v>
      </c>
      <c r="CY66">
        <v>1014</v>
      </c>
      <c r="CZ66">
        <v>548</v>
      </c>
      <c r="DA66">
        <v>2</v>
      </c>
      <c r="DB66">
        <v>131</v>
      </c>
      <c r="DC66">
        <v>0</v>
      </c>
      <c r="DD66">
        <v>855</v>
      </c>
      <c r="DE66">
        <v>3216</v>
      </c>
      <c r="DF66">
        <v>1609</v>
      </c>
      <c r="DG66">
        <v>2221</v>
      </c>
      <c r="DH66">
        <v>0</v>
      </c>
      <c r="DI66">
        <v>0</v>
      </c>
      <c r="DJ66">
        <v>0</v>
      </c>
      <c r="DK66">
        <v>0</v>
      </c>
      <c r="DL66">
        <v>0</v>
      </c>
      <c r="DM66">
        <v>24</v>
      </c>
      <c r="DN66">
        <v>21</v>
      </c>
      <c r="DO66">
        <v>5</v>
      </c>
      <c r="DP66">
        <v>2</v>
      </c>
      <c r="DQ66">
        <v>0</v>
      </c>
      <c r="DR66">
        <v>0</v>
      </c>
      <c r="DS66">
        <v>0</v>
      </c>
      <c r="DT66">
        <v>0</v>
      </c>
      <c r="DU66">
        <v>0</v>
      </c>
      <c r="DV66">
        <v>154</v>
      </c>
      <c r="DW66">
        <v>179</v>
      </c>
      <c r="DX66">
        <v>229</v>
      </c>
      <c r="DY66">
        <v>231</v>
      </c>
      <c r="DZ66">
        <v>162</v>
      </c>
      <c r="EA66">
        <v>140</v>
      </c>
      <c r="EB66">
        <v>106</v>
      </c>
      <c r="EC66">
        <v>108</v>
      </c>
      <c r="ED66">
        <v>100</v>
      </c>
      <c r="EE66">
        <v>108</v>
      </c>
      <c r="EF66">
        <v>121</v>
      </c>
      <c r="EG66">
        <v>102</v>
      </c>
      <c r="EH66">
        <v>55</v>
      </c>
      <c r="EI66">
        <v>44</v>
      </c>
      <c r="EJ66">
        <v>296</v>
      </c>
      <c r="EK66">
        <v>394</v>
      </c>
      <c r="EL66">
        <v>267</v>
      </c>
      <c r="EM66">
        <v>198</v>
      </c>
      <c r="EN66">
        <v>186</v>
      </c>
      <c r="EO66">
        <v>201</v>
      </c>
      <c r="EP66">
        <v>92</v>
      </c>
      <c r="EQ66">
        <v>2027</v>
      </c>
      <c r="ER66">
        <v>2020</v>
      </c>
      <c r="ES66">
        <v>7</v>
      </c>
      <c r="ET66">
        <v>776</v>
      </c>
      <c r="EU66">
        <v>621</v>
      </c>
      <c r="EV66">
        <v>619</v>
      </c>
      <c r="EW66">
        <v>2</v>
      </c>
      <c r="EX66">
        <v>2309</v>
      </c>
      <c r="EY66" s="26">
        <v>59.697508999999997</v>
      </c>
      <c r="EZ66" s="26">
        <v>8.496440999999999</v>
      </c>
      <c r="FA66" s="26">
        <v>7.9181489999999997</v>
      </c>
      <c r="FB66" s="26">
        <v>23.176157</v>
      </c>
      <c r="FC66" s="26">
        <v>0.71174400000000004</v>
      </c>
      <c r="FD66">
        <v>118</v>
      </c>
      <c r="FE66">
        <v>1442</v>
      </c>
      <c r="FF66">
        <v>38</v>
      </c>
      <c r="FG66">
        <v>596</v>
      </c>
      <c r="FH66">
        <v>1</v>
      </c>
      <c r="FI66">
        <v>221</v>
      </c>
      <c r="FJ66">
        <v>231</v>
      </c>
      <c r="FK66" s="26" t="s">
        <v>359</v>
      </c>
      <c r="FL66" s="26" t="s">
        <v>359</v>
      </c>
      <c r="FM66" s="26" t="s">
        <v>359</v>
      </c>
      <c r="FN66" s="26" t="s">
        <v>359</v>
      </c>
      <c r="FO66" s="28">
        <v>3473</v>
      </c>
      <c r="FP66" s="28">
        <v>419</v>
      </c>
      <c r="FQ66">
        <v>42</v>
      </c>
      <c r="FR66">
        <v>78</v>
      </c>
      <c r="FS66">
        <v>3</v>
      </c>
      <c r="FT66">
        <v>0</v>
      </c>
      <c r="FU66">
        <v>3347</v>
      </c>
      <c r="FV66">
        <v>3</v>
      </c>
      <c r="FW66">
        <v>4</v>
      </c>
      <c r="FX66">
        <v>3</v>
      </c>
      <c r="FY66">
        <v>3603</v>
      </c>
      <c r="FZ66">
        <v>397</v>
      </c>
      <c r="GA66">
        <v>34</v>
      </c>
      <c r="GB66">
        <v>82</v>
      </c>
      <c r="GC66">
        <v>4</v>
      </c>
      <c r="GD66">
        <v>0</v>
      </c>
      <c r="GE66">
        <v>3477</v>
      </c>
      <c r="GF66">
        <v>3</v>
      </c>
      <c r="GG66">
        <v>0</v>
      </c>
      <c r="GH66">
        <v>6</v>
      </c>
      <c r="GI66">
        <v>348</v>
      </c>
      <c r="GJ66">
        <v>433</v>
      </c>
      <c r="GK66">
        <v>459</v>
      </c>
      <c r="GL66">
        <v>338</v>
      </c>
      <c r="GM66">
        <v>234</v>
      </c>
      <c r="GN66">
        <v>183</v>
      </c>
      <c r="GO66">
        <v>216</v>
      </c>
      <c r="GP66">
        <v>221</v>
      </c>
      <c r="GQ66">
        <v>177</v>
      </c>
      <c r="GR66">
        <v>148</v>
      </c>
      <c r="GS66">
        <v>156</v>
      </c>
      <c r="GT66">
        <v>116</v>
      </c>
      <c r="GU66">
        <v>107</v>
      </c>
      <c r="GV66">
        <v>80</v>
      </c>
      <c r="GW66">
        <v>78</v>
      </c>
      <c r="GX66">
        <v>90</v>
      </c>
      <c r="GY66">
        <v>40</v>
      </c>
      <c r="GZ66">
        <v>49</v>
      </c>
      <c r="HA66">
        <v>337</v>
      </c>
      <c r="HB66">
        <v>431</v>
      </c>
      <c r="HC66">
        <v>446</v>
      </c>
      <c r="HD66">
        <v>351</v>
      </c>
      <c r="HE66">
        <v>221</v>
      </c>
      <c r="HF66">
        <v>236</v>
      </c>
      <c r="HG66">
        <v>256</v>
      </c>
      <c r="HH66">
        <v>231</v>
      </c>
      <c r="HI66">
        <v>185</v>
      </c>
      <c r="HJ66">
        <v>170</v>
      </c>
      <c r="HK66">
        <v>158</v>
      </c>
      <c r="HL66">
        <v>133</v>
      </c>
      <c r="HM66">
        <v>107</v>
      </c>
      <c r="HN66">
        <v>108</v>
      </c>
      <c r="HO66">
        <v>79</v>
      </c>
      <c r="HP66">
        <v>51</v>
      </c>
      <c r="HQ66">
        <v>39</v>
      </c>
      <c r="HR66">
        <v>64</v>
      </c>
      <c r="HS66">
        <v>1639</v>
      </c>
      <c r="HT66">
        <v>0</v>
      </c>
      <c r="HU66">
        <v>0</v>
      </c>
      <c r="HV66">
        <v>0</v>
      </c>
      <c r="HW66">
        <v>1</v>
      </c>
      <c r="HX66">
        <v>0</v>
      </c>
      <c r="HY66">
        <v>1</v>
      </c>
      <c r="HZ66">
        <v>0</v>
      </c>
      <c r="IA66">
        <v>131</v>
      </c>
      <c r="IB66">
        <v>207</v>
      </c>
      <c r="IC66">
        <v>241</v>
      </c>
      <c r="ID66">
        <v>313</v>
      </c>
      <c r="IE66">
        <v>259</v>
      </c>
      <c r="IF66">
        <v>189</v>
      </c>
      <c r="IG66">
        <v>139</v>
      </c>
      <c r="IH66">
        <v>89</v>
      </c>
      <c r="II66">
        <v>125</v>
      </c>
      <c r="IJ66">
        <v>68</v>
      </c>
      <c r="IK66">
        <v>332</v>
      </c>
      <c r="IL66">
        <v>544</v>
      </c>
      <c r="IM66">
        <v>415</v>
      </c>
      <c r="IN66">
        <v>210</v>
      </c>
      <c r="IO66">
        <v>82</v>
      </c>
      <c r="IP66">
        <v>29</v>
      </c>
      <c r="IQ66">
        <v>8</v>
      </c>
      <c r="IR66">
        <v>5</v>
      </c>
      <c r="IS66">
        <v>527</v>
      </c>
      <c r="IT66">
        <v>732</v>
      </c>
      <c r="IU66">
        <v>305</v>
      </c>
      <c r="IV66">
        <v>94</v>
      </c>
      <c r="IW66">
        <v>35</v>
      </c>
      <c r="IX66">
        <v>766</v>
      </c>
      <c r="IY66">
        <v>332</v>
      </c>
      <c r="IZ66">
        <v>3</v>
      </c>
      <c r="JA66">
        <v>7</v>
      </c>
      <c r="JB66">
        <v>0</v>
      </c>
      <c r="JC66">
        <v>98</v>
      </c>
      <c r="JD66">
        <v>1524</v>
      </c>
      <c r="JE66">
        <v>169</v>
      </c>
      <c r="JF66">
        <v>0</v>
      </c>
      <c r="JH66" s="28">
        <v>1370.7894501913365</v>
      </c>
      <c r="JI66" s="28">
        <v>83.646476232772756</v>
      </c>
      <c r="JJ66">
        <v>144</v>
      </c>
      <c r="JK66">
        <v>1426</v>
      </c>
      <c r="JL66">
        <v>123</v>
      </c>
      <c r="JM66">
        <v>0</v>
      </c>
      <c r="JN66">
        <v>1157</v>
      </c>
      <c r="JO66">
        <v>625</v>
      </c>
      <c r="JP66">
        <v>375</v>
      </c>
      <c r="JQ66">
        <v>1227</v>
      </c>
      <c r="JR66">
        <v>1302</v>
      </c>
      <c r="JS66">
        <v>116</v>
      </c>
      <c r="JT66">
        <v>50</v>
      </c>
      <c r="JU66">
        <v>1200</v>
      </c>
      <c r="JV66">
        <v>185</v>
      </c>
      <c r="JW66" s="28"/>
      <c r="JX66" s="28"/>
      <c r="JY66" s="28"/>
      <c r="JZ66" s="28"/>
      <c r="KA66" s="28">
        <v>1674.0000027599999</v>
      </c>
      <c r="KB66">
        <v>7661</v>
      </c>
      <c r="KC66">
        <v>0</v>
      </c>
      <c r="KD66">
        <v>0</v>
      </c>
      <c r="KE66">
        <v>0</v>
      </c>
      <c r="KF66">
        <v>2</v>
      </c>
      <c r="KG66">
        <v>0</v>
      </c>
      <c r="KH66">
        <v>9</v>
      </c>
      <c r="KI66">
        <v>0</v>
      </c>
      <c r="KJ66">
        <v>691</v>
      </c>
      <c r="KK66">
        <v>6707</v>
      </c>
      <c r="KL66">
        <v>492</v>
      </c>
      <c r="KM66">
        <v>0</v>
      </c>
      <c r="KT66">
        <v>1184</v>
      </c>
      <c r="KU66">
        <v>1180</v>
      </c>
      <c r="KV66">
        <v>1005</v>
      </c>
      <c r="KW66">
        <v>114</v>
      </c>
      <c r="KX66">
        <v>24</v>
      </c>
      <c r="KZ66">
        <v>1024</v>
      </c>
      <c r="LA66">
        <v>97</v>
      </c>
      <c r="LB66">
        <v>19</v>
      </c>
      <c r="LD66">
        <v>777</v>
      </c>
      <c r="LE66">
        <v>779</v>
      </c>
      <c r="LF66">
        <v>146</v>
      </c>
      <c r="LG66">
        <v>275</v>
      </c>
      <c r="LH66">
        <v>5172</v>
      </c>
      <c r="LI66">
        <v>22</v>
      </c>
      <c r="LJ66">
        <v>765</v>
      </c>
      <c r="LK66">
        <v>37</v>
      </c>
      <c r="LL66">
        <v>550</v>
      </c>
      <c r="LM66">
        <v>0</v>
      </c>
      <c r="LN66">
        <v>190</v>
      </c>
      <c r="LO66">
        <v>142</v>
      </c>
      <c r="LP66">
        <v>24</v>
      </c>
      <c r="LQ66">
        <v>735</v>
      </c>
      <c r="LR66">
        <v>53</v>
      </c>
      <c r="LS66">
        <v>629</v>
      </c>
      <c r="LT66">
        <v>1</v>
      </c>
      <c r="LU66">
        <v>204</v>
      </c>
      <c r="LV66">
        <v>100</v>
      </c>
      <c r="LW66" s="44"/>
      <c r="LX66" s="44"/>
      <c r="LY66" s="44"/>
      <c r="LZ66">
        <v>1693</v>
      </c>
      <c r="MA66">
        <v>7890</v>
      </c>
      <c r="MB66">
        <v>7769</v>
      </c>
      <c r="MC66">
        <v>222</v>
      </c>
      <c r="MD66" s="26">
        <v>8.1399849999999994</v>
      </c>
      <c r="ME66" s="26">
        <v>9.6275069999999996</v>
      </c>
      <c r="MF66" s="26">
        <v>59.377416999999994</v>
      </c>
      <c r="MG66" s="26">
        <v>10.327807</v>
      </c>
      <c r="MH66" s="26">
        <v>8.505611</v>
      </c>
      <c r="MI66" s="26">
        <v>1.0632010000000001</v>
      </c>
      <c r="MJ66" s="26">
        <v>8.6828120000000002</v>
      </c>
      <c r="MK66" s="26">
        <v>9.9822799999999994</v>
      </c>
      <c r="ML66" s="26">
        <v>1.122268</v>
      </c>
      <c r="MM66" s="26">
        <v>63.083283999999999</v>
      </c>
      <c r="MN66" s="26">
        <v>31.659775999999997</v>
      </c>
      <c r="MO66" s="26">
        <v>0.329235</v>
      </c>
      <c r="MP66" t="s">
        <v>1029</v>
      </c>
      <c r="MQ66">
        <v>714</v>
      </c>
      <c r="MR66">
        <v>69</v>
      </c>
    </row>
    <row r="67" spans="1:356">
      <c r="A67" t="s">
        <v>145</v>
      </c>
      <c r="B67" t="s">
        <v>146</v>
      </c>
      <c r="C67">
        <v>24079</v>
      </c>
      <c r="D67">
        <v>26573</v>
      </c>
      <c r="E67">
        <v>28250</v>
      </c>
      <c r="F67">
        <f t="shared" ref="F67:F98" si="4">E67-D67</f>
        <v>1677</v>
      </c>
      <c r="G67" s="26">
        <f t="shared" ref="G67:G98" si="5">E67/D67*100-100</f>
        <v>6.3109170963007557</v>
      </c>
      <c r="H67">
        <v>14017</v>
      </c>
      <c r="I67">
        <v>14233</v>
      </c>
      <c r="J67">
        <v>12219</v>
      </c>
      <c r="K67">
        <v>16031</v>
      </c>
      <c r="L67">
        <v>1353</v>
      </c>
      <c r="M67">
        <v>1390</v>
      </c>
      <c r="N67">
        <v>1346</v>
      </c>
      <c r="O67">
        <v>1260</v>
      </c>
      <c r="P67">
        <v>1126</v>
      </c>
      <c r="Q67">
        <v>1008</v>
      </c>
      <c r="R67">
        <v>873</v>
      </c>
      <c r="S67">
        <v>881</v>
      </c>
      <c r="T67">
        <v>829</v>
      </c>
      <c r="U67">
        <v>807</v>
      </c>
      <c r="V67">
        <v>787</v>
      </c>
      <c r="W67">
        <v>606</v>
      </c>
      <c r="X67">
        <v>488</v>
      </c>
      <c r="Y67">
        <v>1263</v>
      </c>
      <c r="Z67">
        <v>0</v>
      </c>
      <c r="AA67">
        <v>1323</v>
      </c>
      <c r="AB67">
        <v>1400</v>
      </c>
      <c r="AC67">
        <v>1343</v>
      </c>
      <c r="AD67">
        <v>1157</v>
      </c>
      <c r="AE67">
        <v>1128</v>
      </c>
      <c r="AF67">
        <v>1052</v>
      </c>
      <c r="AG67">
        <v>969</v>
      </c>
      <c r="AH67">
        <v>985</v>
      </c>
      <c r="AI67">
        <v>901</v>
      </c>
      <c r="AJ67">
        <v>907</v>
      </c>
      <c r="AK67">
        <v>737</v>
      </c>
      <c r="AL67">
        <v>640</v>
      </c>
      <c r="AM67">
        <v>487</v>
      </c>
      <c r="AN67">
        <v>1204</v>
      </c>
      <c r="AO67">
        <v>0</v>
      </c>
      <c r="AP67">
        <v>25952</v>
      </c>
      <c r="AQ67">
        <v>773</v>
      </c>
      <c r="AR67">
        <v>21</v>
      </c>
      <c r="AS67">
        <v>1393</v>
      </c>
      <c r="AT67">
        <v>111</v>
      </c>
      <c r="AU67">
        <v>79</v>
      </c>
      <c r="AV67">
        <v>45</v>
      </c>
      <c r="AW67">
        <v>34</v>
      </c>
      <c r="AX67">
        <v>106</v>
      </c>
      <c r="AY67">
        <v>101</v>
      </c>
      <c r="AZ67">
        <v>41</v>
      </c>
      <c r="BA67">
        <v>60</v>
      </c>
      <c r="BB67">
        <v>0</v>
      </c>
      <c r="BC67">
        <v>1</v>
      </c>
      <c r="BD67">
        <v>0</v>
      </c>
      <c r="BE67">
        <v>1</v>
      </c>
      <c r="BF67">
        <v>1</v>
      </c>
      <c r="BG67">
        <v>2</v>
      </c>
      <c r="BH67">
        <v>8</v>
      </c>
      <c r="BI67">
        <v>2</v>
      </c>
      <c r="BJ67">
        <v>4</v>
      </c>
      <c r="BK67">
        <v>3</v>
      </c>
      <c r="BL67">
        <v>8</v>
      </c>
      <c r="BM67">
        <v>8</v>
      </c>
      <c r="BN67">
        <v>6</v>
      </c>
      <c r="BO67">
        <v>2</v>
      </c>
      <c r="BP67">
        <v>1</v>
      </c>
      <c r="BQ67">
        <v>5</v>
      </c>
      <c r="BR67">
        <v>4</v>
      </c>
      <c r="BS67">
        <v>2</v>
      </c>
      <c r="BT67">
        <v>5</v>
      </c>
      <c r="BU67">
        <v>1</v>
      </c>
      <c r="BV67">
        <v>3</v>
      </c>
      <c r="BW67">
        <v>4</v>
      </c>
      <c r="BX67">
        <v>1</v>
      </c>
      <c r="BY67">
        <v>2</v>
      </c>
      <c r="BZ67">
        <v>1</v>
      </c>
      <c r="CA67">
        <v>0</v>
      </c>
      <c r="CB67">
        <v>3</v>
      </c>
      <c r="CC67">
        <v>1</v>
      </c>
      <c r="CD67">
        <v>44</v>
      </c>
      <c r="CE67">
        <v>34</v>
      </c>
      <c r="CF67">
        <v>1</v>
      </c>
      <c r="CG67">
        <v>0</v>
      </c>
      <c r="CH67">
        <v>5564</v>
      </c>
      <c r="CI67">
        <v>2250</v>
      </c>
      <c r="CJ67">
        <v>20457</v>
      </c>
      <c r="CK67">
        <v>7643</v>
      </c>
      <c r="CL67">
        <v>982</v>
      </c>
      <c r="CM67">
        <v>1530</v>
      </c>
      <c r="CN67">
        <v>1541</v>
      </c>
      <c r="CO67">
        <v>1592</v>
      </c>
      <c r="CP67">
        <v>1049</v>
      </c>
      <c r="CQ67">
        <v>1120</v>
      </c>
      <c r="CR67">
        <v>5121</v>
      </c>
      <c r="CS67">
        <v>10453</v>
      </c>
      <c r="CT67">
        <v>2702</v>
      </c>
      <c r="CU67">
        <v>772</v>
      </c>
      <c r="CV67">
        <v>219</v>
      </c>
      <c r="CW67">
        <v>844</v>
      </c>
      <c r="CX67">
        <v>175</v>
      </c>
      <c r="CY67">
        <v>4618</v>
      </c>
      <c r="CZ67">
        <v>2102</v>
      </c>
      <c r="DA67">
        <v>88</v>
      </c>
      <c r="DB67">
        <v>982</v>
      </c>
      <c r="DC67">
        <v>24</v>
      </c>
      <c r="DD67">
        <v>947</v>
      </c>
      <c r="DE67">
        <v>2115</v>
      </c>
      <c r="DF67">
        <v>5161</v>
      </c>
      <c r="DG67">
        <v>7808</v>
      </c>
      <c r="DH67">
        <v>4445</v>
      </c>
      <c r="DI67">
        <v>7774</v>
      </c>
      <c r="DJ67">
        <v>0</v>
      </c>
      <c r="DK67">
        <v>0</v>
      </c>
      <c r="DL67">
        <v>0</v>
      </c>
      <c r="DM67">
        <v>62</v>
      </c>
      <c r="DN67">
        <v>14</v>
      </c>
      <c r="DO67">
        <v>14</v>
      </c>
      <c r="DP67">
        <v>9</v>
      </c>
      <c r="DQ67">
        <v>1</v>
      </c>
      <c r="DR67">
        <v>1</v>
      </c>
      <c r="DS67">
        <v>0</v>
      </c>
      <c r="DT67">
        <v>0</v>
      </c>
      <c r="DU67">
        <v>0</v>
      </c>
      <c r="DV67">
        <v>869</v>
      </c>
      <c r="DW67">
        <v>948</v>
      </c>
      <c r="DX67">
        <v>1100</v>
      </c>
      <c r="DY67">
        <v>1195</v>
      </c>
      <c r="DZ67">
        <v>473</v>
      </c>
      <c r="EA67">
        <v>389</v>
      </c>
      <c r="EB67">
        <v>237</v>
      </c>
      <c r="EC67">
        <v>200</v>
      </c>
      <c r="ED67">
        <v>215</v>
      </c>
      <c r="EE67">
        <v>257</v>
      </c>
      <c r="EF67">
        <v>359</v>
      </c>
      <c r="EG67">
        <v>420</v>
      </c>
      <c r="EH67">
        <v>176</v>
      </c>
      <c r="EI67">
        <v>149</v>
      </c>
      <c r="EJ67">
        <v>1403</v>
      </c>
      <c r="EK67">
        <v>1725</v>
      </c>
      <c r="EL67">
        <v>639</v>
      </c>
      <c r="EM67">
        <v>303</v>
      </c>
      <c r="EN67">
        <v>359</v>
      </c>
      <c r="EO67">
        <v>595</v>
      </c>
      <c r="EP67">
        <v>203</v>
      </c>
      <c r="EQ67">
        <v>8459</v>
      </c>
      <c r="ER67">
        <v>8395</v>
      </c>
      <c r="ES67">
        <v>64</v>
      </c>
      <c r="ET67">
        <v>2078</v>
      </c>
      <c r="EU67">
        <v>5188</v>
      </c>
      <c r="EV67">
        <v>5147</v>
      </c>
      <c r="EW67">
        <v>41</v>
      </c>
      <c r="EX67">
        <v>5767</v>
      </c>
      <c r="EY67" s="26">
        <v>45.462853000000003</v>
      </c>
      <c r="EZ67" s="26">
        <v>8.4620299999999986</v>
      </c>
      <c r="FA67" s="26">
        <v>21.849584</v>
      </c>
      <c r="FB67" s="26">
        <v>23.622406999999999</v>
      </c>
      <c r="FC67" s="26">
        <v>0.60312500000000002</v>
      </c>
      <c r="FD67">
        <v>1346</v>
      </c>
      <c r="FE67">
        <v>4132</v>
      </c>
      <c r="FF67">
        <v>569</v>
      </c>
      <c r="FG67">
        <v>3511</v>
      </c>
      <c r="FH67">
        <v>9</v>
      </c>
      <c r="FI67">
        <v>2642</v>
      </c>
      <c r="FJ67">
        <v>1428</v>
      </c>
      <c r="FK67" s="26" t="s">
        <v>359</v>
      </c>
      <c r="FL67" s="26" t="s">
        <v>359</v>
      </c>
      <c r="FM67" s="26" t="s">
        <v>359</v>
      </c>
      <c r="FN67" s="26" t="s">
        <v>359</v>
      </c>
      <c r="FO67" s="28">
        <v>9002</v>
      </c>
      <c r="FP67" s="28">
        <v>4921</v>
      </c>
      <c r="FQ67">
        <v>2369</v>
      </c>
      <c r="FR67">
        <v>291</v>
      </c>
      <c r="FS67">
        <v>115</v>
      </c>
      <c r="FT67">
        <v>145</v>
      </c>
      <c r="FU67">
        <v>5639</v>
      </c>
      <c r="FV67">
        <v>77</v>
      </c>
      <c r="FW67">
        <v>196</v>
      </c>
      <c r="FX67">
        <v>94</v>
      </c>
      <c r="FY67">
        <v>9611</v>
      </c>
      <c r="FZ67">
        <v>4606</v>
      </c>
      <c r="GA67">
        <v>2438</v>
      </c>
      <c r="GB67">
        <v>383</v>
      </c>
      <c r="GC67">
        <v>162</v>
      </c>
      <c r="GD67">
        <v>178</v>
      </c>
      <c r="GE67">
        <v>6041</v>
      </c>
      <c r="GF67">
        <v>65</v>
      </c>
      <c r="GG67">
        <v>170</v>
      </c>
      <c r="GH67">
        <v>16</v>
      </c>
      <c r="GI67">
        <v>807</v>
      </c>
      <c r="GJ67">
        <v>904</v>
      </c>
      <c r="GK67">
        <v>917</v>
      </c>
      <c r="GL67">
        <v>819</v>
      </c>
      <c r="GM67">
        <v>630</v>
      </c>
      <c r="GN67">
        <v>599</v>
      </c>
      <c r="GO67">
        <v>539</v>
      </c>
      <c r="GP67">
        <v>539</v>
      </c>
      <c r="GQ67">
        <v>495</v>
      </c>
      <c r="GR67">
        <v>522</v>
      </c>
      <c r="GS67">
        <v>517</v>
      </c>
      <c r="GT67">
        <v>420</v>
      </c>
      <c r="GU67">
        <v>336</v>
      </c>
      <c r="GV67">
        <v>315</v>
      </c>
      <c r="GW67">
        <v>240</v>
      </c>
      <c r="GX67">
        <v>210</v>
      </c>
      <c r="GY67">
        <v>98</v>
      </c>
      <c r="GZ67">
        <v>95</v>
      </c>
      <c r="HA67">
        <v>798</v>
      </c>
      <c r="HB67">
        <v>905</v>
      </c>
      <c r="HC67">
        <v>902</v>
      </c>
      <c r="HD67">
        <v>754</v>
      </c>
      <c r="HE67">
        <v>683</v>
      </c>
      <c r="HF67">
        <v>664</v>
      </c>
      <c r="HG67">
        <v>663</v>
      </c>
      <c r="HH67">
        <v>654</v>
      </c>
      <c r="HI67">
        <v>619</v>
      </c>
      <c r="HJ67">
        <v>641</v>
      </c>
      <c r="HK67">
        <v>538</v>
      </c>
      <c r="HL67">
        <v>472</v>
      </c>
      <c r="HM67">
        <v>367</v>
      </c>
      <c r="HN67">
        <v>330</v>
      </c>
      <c r="HO67">
        <v>252</v>
      </c>
      <c r="HP67">
        <v>159</v>
      </c>
      <c r="HQ67">
        <v>113</v>
      </c>
      <c r="HR67">
        <v>97</v>
      </c>
      <c r="HS67">
        <v>6124</v>
      </c>
      <c r="HT67">
        <v>0</v>
      </c>
      <c r="HU67">
        <v>93</v>
      </c>
      <c r="HV67">
        <v>0</v>
      </c>
      <c r="HW67">
        <v>7</v>
      </c>
      <c r="HX67">
        <v>4</v>
      </c>
      <c r="HY67">
        <v>2</v>
      </c>
      <c r="HZ67">
        <v>2</v>
      </c>
      <c r="IA67">
        <v>978</v>
      </c>
      <c r="IB67">
        <v>1529</v>
      </c>
      <c r="IC67">
        <v>1540</v>
      </c>
      <c r="ID67">
        <v>1590</v>
      </c>
      <c r="IE67">
        <v>1048</v>
      </c>
      <c r="IF67">
        <v>565</v>
      </c>
      <c r="IG67">
        <v>294</v>
      </c>
      <c r="IH67">
        <v>134</v>
      </c>
      <c r="II67">
        <v>123</v>
      </c>
      <c r="IJ67">
        <v>1879</v>
      </c>
      <c r="IK67">
        <v>2084</v>
      </c>
      <c r="IL67">
        <v>1890</v>
      </c>
      <c r="IM67">
        <v>1245</v>
      </c>
      <c r="IN67">
        <v>506</v>
      </c>
      <c r="IO67">
        <v>145</v>
      </c>
      <c r="IP67">
        <v>30</v>
      </c>
      <c r="IQ67">
        <v>15</v>
      </c>
      <c r="IR67">
        <v>7</v>
      </c>
      <c r="IS67">
        <v>4022</v>
      </c>
      <c r="IT67">
        <v>2758</v>
      </c>
      <c r="IU67">
        <v>837</v>
      </c>
      <c r="IV67">
        <v>153</v>
      </c>
      <c r="IW67">
        <v>31</v>
      </c>
      <c r="IX67">
        <v>603</v>
      </c>
      <c r="IY67">
        <v>153</v>
      </c>
      <c r="IZ67">
        <v>10</v>
      </c>
      <c r="JA67">
        <v>245</v>
      </c>
      <c r="JB67">
        <v>5</v>
      </c>
      <c r="JC67">
        <v>22</v>
      </c>
      <c r="JD67">
        <v>7371</v>
      </c>
      <c r="JE67">
        <v>430</v>
      </c>
      <c r="JF67">
        <v>0</v>
      </c>
      <c r="JH67" s="28">
        <v>6375.5063272877751</v>
      </c>
      <c r="JI67" s="28">
        <v>517.53712633546547</v>
      </c>
      <c r="JJ67">
        <v>832</v>
      </c>
      <c r="JK67">
        <v>6640</v>
      </c>
      <c r="JL67">
        <v>329</v>
      </c>
      <c r="JM67">
        <v>0</v>
      </c>
      <c r="JN67">
        <v>5940</v>
      </c>
      <c r="JO67">
        <v>4391</v>
      </c>
      <c r="JP67">
        <v>1392</v>
      </c>
      <c r="JQ67">
        <v>4479</v>
      </c>
      <c r="JR67">
        <v>6560</v>
      </c>
      <c r="JS67">
        <v>595</v>
      </c>
      <c r="JT67">
        <v>483</v>
      </c>
      <c r="JU67">
        <v>6035</v>
      </c>
      <c r="JV67">
        <v>1873</v>
      </c>
      <c r="JW67" s="28"/>
      <c r="JX67" s="28"/>
      <c r="JY67" s="28"/>
      <c r="JZ67" s="28"/>
      <c r="KA67" s="28">
        <v>7721.9999750899997</v>
      </c>
      <c r="KB67">
        <v>22373</v>
      </c>
      <c r="KC67">
        <v>0</v>
      </c>
      <c r="KD67">
        <v>227</v>
      </c>
      <c r="KE67">
        <v>0</v>
      </c>
      <c r="KF67">
        <v>23</v>
      </c>
      <c r="KG67">
        <v>16</v>
      </c>
      <c r="KH67">
        <v>9</v>
      </c>
      <c r="KI67">
        <v>2</v>
      </c>
      <c r="KJ67">
        <v>3099</v>
      </c>
      <c r="KK67">
        <v>23812</v>
      </c>
      <c r="KL67">
        <v>1141</v>
      </c>
      <c r="KM67">
        <v>0</v>
      </c>
      <c r="KT67">
        <v>3571</v>
      </c>
      <c r="KU67">
        <v>3549</v>
      </c>
      <c r="KV67">
        <v>2900</v>
      </c>
      <c r="KW67">
        <v>414</v>
      </c>
      <c r="KX67">
        <v>197</v>
      </c>
      <c r="KZ67">
        <v>2876</v>
      </c>
      <c r="LA67">
        <v>396</v>
      </c>
      <c r="LB67">
        <v>186</v>
      </c>
      <c r="LD67">
        <v>2011</v>
      </c>
      <c r="LE67">
        <v>2054</v>
      </c>
      <c r="LF67">
        <v>1017</v>
      </c>
      <c r="LG67">
        <v>1270</v>
      </c>
      <c r="LH67">
        <v>20095</v>
      </c>
      <c r="LI67">
        <v>12</v>
      </c>
      <c r="LJ67">
        <v>1437</v>
      </c>
      <c r="LK67">
        <v>380</v>
      </c>
      <c r="LL67">
        <v>2268</v>
      </c>
      <c r="LM67">
        <v>7</v>
      </c>
      <c r="LN67">
        <v>1540</v>
      </c>
      <c r="LO67">
        <v>591</v>
      </c>
      <c r="LP67">
        <v>17</v>
      </c>
      <c r="LQ67">
        <v>1488</v>
      </c>
      <c r="LR67">
        <v>345</v>
      </c>
      <c r="LS67">
        <v>2741</v>
      </c>
      <c r="LT67">
        <v>8</v>
      </c>
      <c r="LU67">
        <v>1412</v>
      </c>
      <c r="LV67">
        <v>546</v>
      </c>
      <c r="LW67" s="44"/>
      <c r="LX67" s="44"/>
      <c r="LY67" s="44"/>
      <c r="LZ67">
        <v>7801</v>
      </c>
      <c r="MA67">
        <v>28052</v>
      </c>
      <c r="MB67">
        <v>29239</v>
      </c>
      <c r="MC67">
        <v>108</v>
      </c>
      <c r="MD67" s="26">
        <v>11.380941</v>
      </c>
      <c r="ME67" s="26">
        <v>10.199105999999999</v>
      </c>
      <c r="MF67" s="26">
        <v>44.807165999999995</v>
      </c>
      <c r="MG67" s="26">
        <v>33.723894000000001</v>
      </c>
      <c r="MH67" s="26">
        <v>10.665298999999999</v>
      </c>
      <c r="MI67" s="26">
        <v>5.1147289999999996</v>
      </c>
      <c r="MJ67" s="26">
        <v>12.049736999999999</v>
      </c>
      <c r="MK67" s="26">
        <v>5.5121139999999995</v>
      </c>
      <c r="ML67" s="26">
        <v>1.012691</v>
      </c>
      <c r="MM67" s="26">
        <v>43.712344999999999</v>
      </c>
      <c r="MN67" s="26">
        <v>23.855916000000001</v>
      </c>
      <c r="MO67" s="26">
        <v>6.0170999999999995E-2</v>
      </c>
      <c r="MP67" t="s">
        <v>1027</v>
      </c>
      <c r="MQ67">
        <v>964</v>
      </c>
      <c r="MR67">
        <v>87</v>
      </c>
    </row>
    <row r="68" spans="1:356">
      <c r="A68" t="s">
        <v>147</v>
      </c>
      <c r="B68" t="s">
        <v>148</v>
      </c>
      <c r="C68">
        <v>4794</v>
      </c>
      <c r="D68">
        <v>5033</v>
      </c>
      <c r="E68">
        <v>5876</v>
      </c>
      <c r="F68">
        <f t="shared" si="4"/>
        <v>843</v>
      </c>
      <c r="G68" s="26">
        <f t="shared" si="5"/>
        <v>16.749453606199083</v>
      </c>
      <c r="H68">
        <v>2756</v>
      </c>
      <c r="I68">
        <v>3120</v>
      </c>
      <c r="J68">
        <v>2860</v>
      </c>
      <c r="K68">
        <v>3016</v>
      </c>
      <c r="L68">
        <v>265</v>
      </c>
      <c r="M68">
        <v>287</v>
      </c>
      <c r="N68">
        <v>264</v>
      </c>
      <c r="O68">
        <v>272</v>
      </c>
      <c r="P68">
        <v>225</v>
      </c>
      <c r="Q68">
        <v>186</v>
      </c>
      <c r="R68">
        <v>160</v>
      </c>
      <c r="S68">
        <v>160</v>
      </c>
      <c r="T68">
        <v>148</v>
      </c>
      <c r="U68">
        <v>140</v>
      </c>
      <c r="V68">
        <v>157</v>
      </c>
      <c r="W68">
        <v>132</v>
      </c>
      <c r="X68">
        <v>88</v>
      </c>
      <c r="Y68">
        <v>236</v>
      </c>
      <c r="Z68">
        <v>36</v>
      </c>
      <c r="AA68">
        <v>281</v>
      </c>
      <c r="AB68">
        <v>315</v>
      </c>
      <c r="AC68">
        <v>260</v>
      </c>
      <c r="AD68">
        <v>273</v>
      </c>
      <c r="AE68">
        <v>224</v>
      </c>
      <c r="AF68">
        <v>234</v>
      </c>
      <c r="AG68">
        <v>207</v>
      </c>
      <c r="AH68">
        <v>207</v>
      </c>
      <c r="AI68">
        <v>195</v>
      </c>
      <c r="AJ68">
        <v>180</v>
      </c>
      <c r="AK68">
        <v>193</v>
      </c>
      <c r="AL68">
        <v>132</v>
      </c>
      <c r="AM68">
        <v>114</v>
      </c>
      <c r="AN68">
        <v>269</v>
      </c>
      <c r="AO68">
        <v>36</v>
      </c>
      <c r="AP68">
        <v>5256</v>
      </c>
      <c r="AQ68">
        <v>231</v>
      </c>
      <c r="AR68">
        <v>11</v>
      </c>
      <c r="AS68">
        <v>295</v>
      </c>
      <c r="AT68">
        <v>83</v>
      </c>
      <c r="AU68">
        <v>20</v>
      </c>
      <c r="AV68">
        <v>13</v>
      </c>
      <c r="AW68">
        <v>7</v>
      </c>
      <c r="AX68">
        <v>20</v>
      </c>
      <c r="AY68">
        <v>4</v>
      </c>
      <c r="AZ68">
        <v>2</v>
      </c>
      <c r="BA68">
        <v>2</v>
      </c>
      <c r="BB68">
        <v>0</v>
      </c>
      <c r="BC68">
        <v>0</v>
      </c>
      <c r="BD68">
        <v>0</v>
      </c>
      <c r="BE68">
        <v>0</v>
      </c>
      <c r="BF68">
        <v>0</v>
      </c>
      <c r="BG68">
        <v>0</v>
      </c>
      <c r="BH68">
        <v>1</v>
      </c>
      <c r="BI68">
        <v>0</v>
      </c>
      <c r="BJ68">
        <v>1</v>
      </c>
      <c r="BK68">
        <v>1</v>
      </c>
      <c r="BL68">
        <v>2</v>
      </c>
      <c r="BM68">
        <v>1</v>
      </c>
      <c r="BN68">
        <v>2</v>
      </c>
      <c r="BO68">
        <v>0</v>
      </c>
      <c r="BP68">
        <v>0</v>
      </c>
      <c r="BQ68">
        <v>3</v>
      </c>
      <c r="BR68">
        <v>0</v>
      </c>
      <c r="BS68">
        <v>1</v>
      </c>
      <c r="BT68">
        <v>2</v>
      </c>
      <c r="BU68">
        <v>0</v>
      </c>
      <c r="BV68">
        <v>2</v>
      </c>
      <c r="BW68">
        <v>0</v>
      </c>
      <c r="BX68">
        <v>2</v>
      </c>
      <c r="BY68">
        <v>0</v>
      </c>
      <c r="BZ68">
        <v>0</v>
      </c>
      <c r="CA68">
        <v>0</v>
      </c>
      <c r="CB68">
        <v>1</v>
      </c>
      <c r="CC68">
        <v>1</v>
      </c>
      <c r="CD68">
        <v>13</v>
      </c>
      <c r="CE68">
        <v>7</v>
      </c>
      <c r="CF68">
        <v>0</v>
      </c>
      <c r="CG68">
        <v>0</v>
      </c>
      <c r="CH68">
        <v>1041</v>
      </c>
      <c r="CI68">
        <v>533</v>
      </c>
      <c r="CJ68">
        <v>4001</v>
      </c>
      <c r="CK68">
        <v>1875</v>
      </c>
      <c r="CL68">
        <v>175</v>
      </c>
      <c r="CM68">
        <v>269</v>
      </c>
      <c r="CN68">
        <v>320</v>
      </c>
      <c r="CO68">
        <v>335</v>
      </c>
      <c r="CP68">
        <v>230</v>
      </c>
      <c r="CQ68">
        <v>245</v>
      </c>
      <c r="CR68">
        <v>968</v>
      </c>
      <c r="CS68">
        <v>2189</v>
      </c>
      <c r="CT68">
        <v>627</v>
      </c>
      <c r="CU68">
        <v>167</v>
      </c>
      <c r="CV68">
        <v>75</v>
      </c>
      <c r="CW68">
        <v>184</v>
      </c>
      <c r="CX68">
        <v>35</v>
      </c>
      <c r="CY68">
        <v>871</v>
      </c>
      <c r="CZ68">
        <v>484</v>
      </c>
      <c r="DA68">
        <v>23</v>
      </c>
      <c r="DB68">
        <v>175</v>
      </c>
      <c r="DC68">
        <v>6</v>
      </c>
      <c r="DD68">
        <v>3</v>
      </c>
      <c r="DE68">
        <v>0</v>
      </c>
      <c r="DF68">
        <v>832</v>
      </c>
      <c r="DG68">
        <v>2181</v>
      </c>
      <c r="DH68">
        <v>2860</v>
      </c>
      <c r="DI68">
        <v>0</v>
      </c>
      <c r="DJ68">
        <v>0</v>
      </c>
      <c r="DK68">
        <v>0</v>
      </c>
      <c r="DL68">
        <v>0</v>
      </c>
      <c r="DM68">
        <v>1</v>
      </c>
      <c r="DN68">
        <v>0</v>
      </c>
      <c r="DO68">
        <v>2</v>
      </c>
      <c r="DP68">
        <v>3</v>
      </c>
      <c r="DQ68">
        <v>1</v>
      </c>
      <c r="DR68">
        <v>0</v>
      </c>
      <c r="DS68">
        <v>0</v>
      </c>
      <c r="DT68">
        <v>0</v>
      </c>
      <c r="DU68">
        <v>0</v>
      </c>
      <c r="DV68">
        <v>177</v>
      </c>
      <c r="DW68">
        <v>249</v>
      </c>
      <c r="DX68">
        <v>251</v>
      </c>
      <c r="DY68">
        <v>350</v>
      </c>
      <c r="DZ68">
        <v>93</v>
      </c>
      <c r="EA68">
        <v>97</v>
      </c>
      <c r="EB68">
        <v>69</v>
      </c>
      <c r="EC68">
        <v>52</v>
      </c>
      <c r="ED68">
        <v>47</v>
      </c>
      <c r="EE68">
        <v>47</v>
      </c>
      <c r="EF68">
        <v>86</v>
      </c>
      <c r="EG68">
        <v>113</v>
      </c>
      <c r="EH68">
        <v>42</v>
      </c>
      <c r="EI68">
        <v>36</v>
      </c>
      <c r="EJ68">
        <v>279</v>
      </c>
      <c r="EK68">
        <v>391</v>
      </c>
      <c r="EL68">
        <v>125</v>
      </c>
      <c r="EM68">
        <v>62</v>
      </c>
      <c r="EN68">
        <v>51</v>
      </c>
      <c r="EO68">
        <v>114</v>
      </c>
      <c r="EP68">
        <v>45</v>
      </c>
      <c r="EQ68">
        <v>1434</v>
      </c>
      <c r="ER68">
        <v>1404</v>
      </c>
      <c r="ES68">
        <v>30</v>
      </c>
      <c r="ET68">
        <v>614</v>
      </c>
      <c r="EU68">
        <v>927</v>
      </c>
      <c r="EV68">
        <v>915</v>
      </c>
      <c r="EW68">
        <v>12</v>
      </c>
      <c r="EX68">
        <v>1438</v>
      </c>
      <c r="EY68" s="26">
        <v>29.113323999999999</v>
      </c>
      <c r="EZ68" s="26">
        <v>14.272167</v>
      </c>
      <c r="FA68" s="26">
        <v>15.742058</v>
      </c>
      <c r="FB68" s="26">
        <v>40.587955999999998</v>
      </c>
      <c r="FC68" s="26">
        <v>0.284495</v>
      </c>
      <c r="FD68">
        <v>160</v>
      </c>
      <c r="FE68">
        <v>487</v>
      </c>
      <c r="FF68">
        <v>75</v>
      </c>
      <c r="FG68">
        <v>584</v>
      </c>
      <c r="FH68">
        <v>0</v>
      </c>
      <c r="FI68">
        <v>671</v>
      </c>
      <c r="FJ68">
        <v>384</v>
      </c>
      <c r="FK68" s="26" t="s">
        <v>359</v>
      </c>
      <c r="FL68" s="26" t="s">
        <v>359</v>
      </c>
      <c r="FM68" s="26" t="s">
        <v>359</v>
      </c>
      <c r="FN68" s="26" t="s">
        <v>359</v>
      </c>
      <c r="FO68" s="28">
        <v>1536</v>
      </c>
      <c r="FP68" s="28">
        <v>1184</v>
      </c>
      <c r="FQ68">
        <v>697</v>
      </c>
      <c r="FR68">
        <v>148</v>
      </c>
      <c r="FS68">
        <v>9</v>
      </c>
      <c r="FT68">
        <v>95</v>
      </c>
      <c r="FU68">
        <v>385</v>
      </c>
      <c r="FV68">
        <v>10</v>
      </c>
      <c r="FW68">
        <v>177</v>
      </c>
      <c r="FX68">
        <v>36</v>
      </c>
      <c r="FY68">
        <v>1794</v>
      </c>
      <c r="FZ68">
        <v>1290</v>
      </c>
      <c r="GA68">
        <v>705</v>
      </c>
      <c r="GB68">
        <v>222</v>
      </c>
      <c r="GC68">
        <v>14</v>
      </c>
      <c r="GD68">
        <v>107</v>
      </c>
      <c r="GE68">
        <v>508</v>
      </c>
      <c r="GF68">
        <v>7</v>
      </c>
      <c r="GG68">
        <v>197</v>
      </c>
      <c r="GH68">
        <v>36</v>
      </c>
      <c r="GI68">
        <v>142</v>
      </c>
      <c r="GJ68">
        <v>161</v>
      </c>
      <c r="GK68">
        <v>146</v>
      </c>
      <c r="GL68">
        <v>163</v>
      </c>
      <c r="GM68">
        <v>110</v>
      </c>
      <c r="GN68">
        <v>99</v>
      </c>
      <c r="GO68">
        <v>86</v>
      </c>
      <c r="GP68">
        <v>82</v>
      </c>
      <c r="GQ68">
        <v>87</v>
      </c>
      <c r="GR68">
        <v>82</v>
      </c>
      <c r="GS68">
        <v>88</v>
      </c>
      <c r="GT68">
        <v>76</v>
      </c>
      <c r="GU68">
        <v>55</v>
      </c>
      <c r="GV68">
        <v>52</v>
      </c>
      <c r="GW68">
        <v>50</v>
      </c>
      <c r="GX68">
        <v>25</v>
      </c>
      <c r="GY68">
        <v>18</v>
      </c>
      <c r="GZ68">
        <v>14</v>
      </c>
      <c r="HA68">
        <v>131</v>
      </c>
      <c r="HB68">
        <v>177</v>
      </c>
      <c r="HC68">
        <v>144</v>
      </c>
      <c r="HD68">
        <v>165</v>
      </c>
      <c r="HE68">
        <v>113</v>
      </c>
      <c r="HF68">
        <v>136</v>
      </c>
      <c r="HG68">
        <v>121</v>
      </c>
      <c r="HH68">
        <v>118</v>
      </c>
      <c r="HI68">
        <v>112</v>
      </c>
      <c r="HJ68">
        <v>113</v>
      </c>
      <c r="HK68">
        <v>120</v>
      </c>
      <c r="HL68">
        <v>82</v>
      </c>
      <c r="HM68">
        <v>73</v>
      </c>
      <c r="HN68">
        <v>70</v>
      </c>
      <c r="HO68">
        <v>45</v>
      </c>
      <c r="HP68">
        <v>28</v>
      </c>
      <c r="HQ68">
        <v>26</v>
      </c>
      <c r="HR68">
        <v>20</v>
      </c>
      <c r="HS68">
        <v>1206</v>
      </c>
      <c r="HT68">
        <v>0</v>
      </c>
      <c r="HU68">
        <v>9</v>
      </c>
      <c r="HV68">
        <v>0</v>
      </c>
      <c r="HW68">
        <v>2</v>
      </c>
      <c r="HX68">
        <v>0</v>
      </c>
      <c r="HY68">
        <v>0</v>
      </c>
      <c r="HZ68">
        <v>0</v>
      </c>
      <c r="IA68">
        <v>175</v>
      </c>
      <c r="IB68">
        <v>268</v>
      </c>
      <c r="IC68">
        <v>320</v>
      </c>
      <c r="ID68">
        <v>334</v>
      </c>
      <c r="IE68">
        <v>230</v>
      </c>
      <c r="IF68">
        <v>125</v>
      </c>
      <c r="IG68">
        <v>59</v>
      </c>
      <c r="IH68">
        <v>28</v>
      </c>
      <c r="II68">
        <v>33</v>
      </c>
      <c r="IJ68">
        <v>193</v>
      </c>
      <c r="IK68">
        <v>332</v>
      </c>
      <c r="IL68">
        <v>420</v>
      </c>
      <c r="IM68">
        <v>352</v>
      </c>
      <c r="IN68">
        <v>179</v>
      </c>
      <c r="IO68">
        <v>57</v>
      </c>
      <c r="IP68">
        <v>14</v>
      </c>
      <c r="IQ68">
        <v>5</v>
      </c>
      <c r="IR68">
        <v>5</v>
      </c>
      <c r="IS68">
        <v>638</v>
      </c>
      <c r="IT68">
        <v>600</v>
      </c>
      <c r="IU68">
        <v>260</v>
      </c>
      <c r="IV68">
        <v>50</v>
      </c>
      <c r="IW68">
        <v>9</v>
      </c>
      <c r="IX68">
        <v>677</v>
      </c>
      <c r="IY68">
        <v>206</v>
      </c>
      <c r="IZ68">
        <v>0</v>
      </c>
      <c r="JA68">
        <v>28</v>
      </c>
      <c r="JB68">
        <v>0</v>
      </c>
      <c r="JC68">
        <v>5</v>
      </c>
      <c r="JD68">
        <v>1513</v>
      </c>
      <c r="JE68">
        <v>44</v>
      </c>
      <c r="JF68">
        <v>15</v>
      </c>
      <c r="JH68" s="28">
        <v>1217.3674072506453</v>
      </c>
      <c r="JI68" s="28">
        <v>37.361018265776757</v>
      </c>
      <c r="JJ68">
        <v>136</v>
      </c>
      <c r="JK68">
        <v>1228</v>
      </c>
      <c r="JL68">
        <v>193</v>
      </c>
      <c r="JM68">
        <v>15</v>
      </c>
      <c r="JN68">
        <v>1320</v>
      </c>
      <c r="JO68">
        <v>780</v>
      </c>
      <c r="JP68">
        <v>340</v>
      </c>
      <c r="JQ68">
        <v>988</v>
      </c>
      <c r="JR68">
        <v>1375</v>
      </c>
      <c r="JS68">
        <v>217</v>
      </c>
      <c r="JT68">
        <v>161</v>
      </c>
      <c r="JU68">
        <v>1383</v>
      </c>
      <c r="JV68">
        <v>199</v>
      </c>
      <c r="JW68" s="28"/>
      <c r="JX68" s="28"/>
      <c r="JY68" s="28"/>
      <c r="JZ68" s="28"/>
      <c r="KA68" s="28">
        <v>1553.00000628</v>
      </c>
      <c r="KB68">
        <v>4594</v>
      </c>
      <c r="KC68">
        <v>0</v>
      </c>
      <c r="KD68">
        <v>25</v>
      </c>
      <c r="KE68">
        <v>0</v>
      </c>
      <c r="KF68">
        <v>6</v>
      </c>
      <c r="KG68">
        <v>0</v>
      </c>
      <c r="KH68">
        <v>0</v>
      </c>
      <c r="KI68">
        <v>0</v>
      </c>
      <c r="KJ68">
        <v>526</v>
      </c>
      <c r="KK68">
        <v>4570</v>
      </c>
      <c r="KL68">
        <v>702</v>
      </c>
      <c r="KM68">
        <v>72</v>
      </c>
      <c r="KT68">
        <v>787</v>
      </c>
      <c r="KU68">
        <v>828</v>
      </c>
      <c r="KV68">
        <v>625</v>
      </c>
      <c r="KW68">
        <v>97</v>
      </c>
      <c r="KX68">
        <v>43</v>
      </c>
      <c r="KZ68">
        <v>638</v>
      </c>
      <c r="LA68">
        <v>109</v>
      </c>
      <c r="LB68">
        <v>53</v>
      </c>
      <c r="LD68">
        <v>427</v>
      </c>
      <c r="LE68">
        <v>451</v>
      </c>
      <c r="LF68">
        <v>96</v>
      </c>
      <c r="LG68">
        <v>246</v>
      </c>
      <c r="LH68">
        <v>4132</v>
      </c>
      <c r="LI68">
        <v>1</v>
      </c>
      <c r="LJ68">
        <v>233</v>
      </c>
      <c r="LK68">
        <v>73</v>
      </c>
      <c r="LL68">
        <v>405</v>
      </c>
      <c r="LM68">
        <v>1</v>
      </c>
      <c r="LN68">
        <v>470</v>
      </c>
      <c r="LO68">
        <v>147</v>
      </c>
      <c r="LP68">
        <v>4</v>
      </c>
      <c r="LQ68">
        <v>246</v>
      </c>
      <c r="LR68">
        <v>69</v>
      </c>
      <c r="LS68">
        <v>596</v>
      </c>
      <c r="LT68">
        <v>1</v>
      </c>
      <c r="LU68">
        <v>401</v>
      </c>
      <c r="LV68">
        <v>156</v>
      </c>
      <c r="LW68" s="44"/>
      <c r="LX68" s="44"/>
      <c r="LY68" s="44"/>
      <c r="LZ68">
        <v>1572</v>
      </c>
      <c r="MA68">
        <v>5870</v>
      </c>
      <c r="MB68">
        <v>5743</v>
      </c>
      <c r="MC68">
        <v>12</v>
      </c>
      <c r="MD68" s="26">
        <v>8.2768639999999998</v>
      </c>
      <c r="ME68" s="26">
        <v>7.5452719999999998</v>
      </c>
      <c r="MF68" s="26">
        <v>35.866408999999997</v>
      </c>
      <c r="MG68" s="26">
        <v>42.103471999999996</v>
      </c>
      <c r="MH68" s="26">
        <v>8.6513989999999996</v>
      </c>
      <c r="MI68" s="26">
        <v>3.3715009999999999</v>
      </c>
      <c r="MJ68" s="26">
        <v>8.8422389999999993</v>
      </c>
      <c r="MK68" s="26">
        <v>2.7989820000000001</v>
      </c>
      <c r="ML68" s="26">
        <v>1.2086509999999999</v>
      </c>
      <c r="MM68" s="26">
        <v>50.381678999999998</v>
      </c>
      <c r="MN68" s="26">
        <v>16.030533999999999</v>
      </c>
      <c r="MO68" s="26">
        <v>-0.31081500000000001</v>
      </c>
      <c r="MP68" t="s">
        <v>1027</v>
      </c>
      <c r="MQ68">
        <v>1324</v>
      </c>
      <c r="MR68">
        <v>116</v>
      </c>
    </row>
    <row r="69" spans="1:356">
      <c r="A69" t="s">
        <v>283</v>
      </c>
      <c r="B69" t="s">
        <v>284</v>
      </c>
      <c r="C69" t="s">
        <v>393</v>
      </c>
      <c r="D69" t="s">
        <v>359</v>
      </c>
      <c r="E69">
        <v>23847</v>
      </c>
      <c r="F69" t="e">
        <f t="shared" si="4"/>
        <v>#VALUE!</v>
      </c>
      <c r="G69" s="26" t="e">
        <f t="shared" si="5"/>
        <v>#VALUE!</v>
      </c>
      <c r="H69">
        <v>11699</v>
      </c>
      <c r="I69">
        <v>12148</v>
      </c>
      <c r="J69">
        <v>7968</v>
      </c>
      <c r="K69">
        <v>15879</v>
      </c>
      <c r="L69">
        <v>1310</v>
      </c>
      <c r="M69">
        <v>1508</v>
      </c>
      <c r="N69">
        <v>1316</v>
      </c>
      <c r="O69">
        <v>1314</v>
      </c>
      <c r="P69">
        <v>954</v>
      </c>
      <c r="Q69">
        <v>750</v>
      </c>
      <c r="R69">
        <v>683</v>
      </c>
      <c r="S69">
        <v>676</v>
      </c>
      <c r="T69">
        <v>604</v>
      </c>
      <c r="U69">
        <v>548</v>
      </c>
      <c r="V69">
        <v>496</v>
      </c>
      <c r="W69">
        <v>384</v>
      </c>
      <c r="X69">
        <v>331</v>
      </c>
      <c r="Y69">
        <v>817</v>
      </c>
      <c r="Z69">
        <v>8</v>
      </c>
      <c r="AA69">
        <v>1306</v>
      </c>
      <c r="AB69">
        <v>1410</v>
      </c>
      <c r="AC69">
        <v>1323</v>
      </c>
      <c r="AD69">
        <v>1233</v>
      </c>
      <c r="AE69">
        <v>1086</v>
      </c>
      <c r="AF69">
        <v>902</v>
      </c>
      <c r="AG69">
        <v>855</v>
      </c>
      <c r="AH69">
        <v>800</v>
      </c>
      <c r="AI69">
        <v>666</v>
      </c>
      <c r="AJ69">
        <v>568</v>
      </c>
      <c r="AK69">
        <v>534</v>
      </c>
      <c r="AL69">
        <v>385</v>
      </c>
      <c r="AM69">
        <v>337</v>
      </c>
      <c r="AN69">
        <v>735</v>
      </c>
      <c r="AO69">
        <v>8</v>
      </c>
      <c r="AP69">
        <v>21446</v>
      </c>
      <c r="AQ69">
        <v>2304</v>
      </c>
      <c r="AR69">
        <v>63</v>
      </c>
      <c r="AS69">
        <v>15</v>
      </c>
      <c r="AT69">
        <v>19</v>
      </c>
      <c r="AU69">
        <v>5395</v>
      </c>
      <c r="AV69">
        <v>2611</v>
      </c>
      <c r="AW69">
        <v>2784</v>
      </c>
      <c r="AX69" t="s">
        <v>393</v>
      </c>
      <c r="AY69" t="s">
        <v>393</v>
      </c>
      <c r="AZ69" t="s">
        <v>393</v>
      </c>
      <c r="BA69" t="s">
        <v>393</v>
      </c>
      <c r="BB69">
        <v>105</v>
      </c>
      <c r="BC69">
        <v>119</v>
      </c>
      <c r="BD69">
        <v>336</v>
      </c>
      <c r="BE69">
        <v>353</v>
      </c>
      <c r="BF69">
        <v>306</v>
      </c>
      <c r="BG69">
        <v>347</v>
      </c>
      <c r="BH69">
        <v>318</v>
      </c>
      <c r="BI69">
        <v>291</v>
      </c>
      <c r="BJ69">
        <v>229</v>
      </c>
      <c r="BK69">
        <v>282</v>
      </c>
      <c r="BL69">
        <v>189</v>
      </c>
      <c r="BM69">
        <v>225</v>
      </c>
      <c r="BN69">
        <v>159</v>
      </c>
      <c r="BO69">
        <v>179</v>
      </c>
      <c r="BP69">
        <v>150</v>
      </c>
      <c r="BQ69">
        <v>177</v>
      </c>
      <c r="BR69">
        <v>138</v>
      </c>
      <c r="BS69">
        <v>163</v>
      </c>
      <c r="BT69">
        <v>130</v>
      </c>
      <c r="BU69">
        <v>142</v>
      </c>
      <c r="BV69">
        <v>129</v>
      </c>
      <c r="BW69">
        <v>136</v>
      </c>
      <c r="BX69">
        <v>106</v>
      </c>
      <c r="BY69">
        <v>75</v>
      </c>
      <c r="BZ69">
        <v>78</v>
      </c>
      <c r="CA69">
        <v>81</v>
      </c>
      <c r="CB69">
        <v>238</v>
      </c>
      <c r="CC69">
        <v>214</v>
      </c>
      <c r="CD69">
        <v>2406</v>
      </c>
      <c r="CE69">
        <v>2529</v>
      </c>
      <c r="CF69">
        <v>197</v>
      </c>
      <c r="CG69">
        <v>242</v>
      </c>
      <c r="CH69">
        <v>4208</v>
      </c>
      <c r="CI69">
        <v>1601</v>
      </c>
      <c r="CJ69">
        <v>17940</v>
      </c>
      <c r="CK69">
        <v>5835</v>
      </c>
      <c r="CL69">
        <v>540</v>
      </c>
      <c r="CM69">
        <v>876</v>
      </c>
      <c r="CN69">
        <v>1129</v>
      </c>
      <c r="CO69">
        <v>1165</v>
      </c>
      <c r="CP69">
        <v>846</v>
      </c>
      <c r="CQ69">
        <v>1253</v>
      </c>
      <c r="CR69">
        <v>4063</v>
      </c>
      <c r="CS69">
        <v>10568</v>
      </c>
      <c r="CT69">
        <v>1864</v>
      </c>
      <c r="CU69">
        <v>524</v>
      </c>
      <c r="CV69">
        <v>256</v>
      </c>
      <c r="CW69">
        <v>572</v>
      </c>
      <c r="CX69">
        <v>109</v>
      </c>
      <c r="CY69">
        <v>3765</v>
      </c>
      <c r="CZ69">
        <v>1430</v>
      </c>
      <c r="DA69">
        <v>48</v>
      </c>
      <c r="DB69">
        <v>540</v>
      </c>
      <c r="DC69">
        <v>22</v>
      </c>
      <c r="DD69">
        <v>2028</v>
      </c>
      <c r="DE69">
        <v>3888</v>
      </c>
      <c r="DF69">
        <v>3417</v>
      </c>
      <c r="DG69">
        <v>6546</v>
      </c>
      <c r="DH69">
        <v>0</v>
      </c>
      <c r="DI69">
        <v>7968</v>
      </c>
      <c r="DJ69">
        <v>0</v>
      </c>
      <c r="DK69">
        <v>0</v>
      </c>
      <c r="DL69">
        <v>0</v>
      </c>
      <c r="DM69">
        <v>125</v>
      </c>
      <c r="DN69">
        <v>24</v>
      </c>
      <c r="DO69">
        <v>9</v>
      </c>
      <c r="DP69">
        <v>8</v>
      </c>
      <c r="DQ69">
        <v>0</v>
      </c>
      <c r="DR69">
        <v>1</v>
      </c>
      <c r="DS69">
        <v>0</v>
      </c>
      <c r="DT69">
        <v>0</v>
      </c>
      <c r="DU69">
        <v>0</v>
      </c>
      <c r="DV69">
        <v>568</v>
      </c>
      <c r="DW69">
        <v>694</v>
      </c>
      <c r="DX69">
        <v>927</v>
      </c>
      <c r="DY69">
        <v>1040</v>
      </c>
      <c r="DZ69">
        <v>416</v>
      </c>
      <c r="EA69">
        <v>329</v>
      </c>
      <c r="EB69">
        <v>170</v>
      </c>
      <c r="EC69">
        <v>143</v>
      </c>
      <c r="ED69">
        <v>119</v>
      </c>
      <c r="EE69">
        <v>157</v>
      </c>
      <c r="EF69">
        <v>262</v>
      </c>
      <c r="EG69">
        <v>292</v>
      </c>
      <c r="EH69">
        <v>116</v>
      </c>
      <c r="EI69">
        <v>86</v>
      </c>
      <c r="EJ69">
        <v>791</v>
      </c>
      <c r="EK69">
        <v>1258</v>
      </c>
      <c r="EL69">
        <v>446</v>
      </c>
      <c r="EM69">
        <v>188</v>
      </c>
      <c r="EN69">
        <v>183</v>
      </c>
      <c r="EO69">
        <v>334</v>
      </c>
      <c r="EP69">
        <v>107</v>
      </c>
      <c r="EQ69">
        <v>6690</v>
      </c>
      <c r="ER69">
        <v>6590</v>
      </c>
      <c r="ES69">
        <v>100</v>
      </c>
      <c r="ET69">
        <v>1622</v>
      </c>
      <c r="EU69">
        <v>3389</v>
      </c>
      <c r="EV69">
        <v>3370</v>
      </c>
      <c r="EW69">
        <v>19</v>
      </c>
      <c r="EX69">
        <v>5422</v>
      </c>
      <c r="EY69" s="26">
        <v>52.585745000000003</v>
      </c>
      <c r="EZ69" s="26">
        <v>12.017685</v>
      </c>
      <c r="FA69" s="26">
        <v>14.389068</v>
      </c>
      <c r="FB69" s="26">
        <v>20.659164000000001</v>
      </c>
      <c r="FC69" s="26">
        <v>0.34833900000000001</v>
      </c>
      <c r="FD69">
        <v>1280</v>
      </c>
      <c r="FE69">
        <v>3586</v>
      </c>
      <c r="FF69">
        <v>533</v>
      </c>
      <c r="FG69">
        <v>2192</v>
      </c>
      <c r="FH69">
        <v>3</v>
      </c>
      <c r="FI69">
        <v>1713</v>
      </c>
      <c r="FJ69">
        <v>767</v>
      </c>
      <c r="FK69" s="26" t="s">
        <v>359</v>
      </c>
      <c r="FL69" s="26" t="s">
        <v>359</v>
      </c>
      <c r="FM69" s="26" t="s">
        <v>359</v>
      </c>
      <c r="FN69" s="26" t="s">
        <v>359</v>
      </c>
      <c r="FO69" s="28">
        <v>7277</v>
      </c>
      <c r="FP69" s="28">
        <v>4414</v>
      </c>
      <c r="FQ69">
        <v>1286</v>
      </c>
      <c r="FR69">
        <v>62</v>
      </c>
      <c r="FS69">
        <v>20</v>
      </c>
      <c r="FT69">
        <v>29</v>
      </c>
      <c r="FU69">
        <v>5745</v>
      </c>
      <c r="FV69">
        <v>16</v>
      </c>
      <c r="FW69">
        <v>83</v>
      </c>
      <c r="FX69">
        <v>8</v>
      </c>
      <c r="FY69">
        <v>8034</v>
      </c>
      <c r="FZ69">
        <v>4106</v>
      </c>
      <c r="GA69">
        <v>1255</v>
      </c>
      <c r="GB69">
        <v>81</v>
      </c>
      <c r="GC69">
        <v>20</v>
      </c>
      <c r="GD69">
        <v>11</v>
      </c>
      <c r="GE69">
        <v>6513</v>
      </c>
      <c r="GF69">
        <v>22</v>
      </c>
      <c r="GG69">
        <v>83</v>
      </c>
      <c r="GH69">
        <v>8</v>
      </c>
      <c r="GI69">
        <v>706</v>
      </c>
      <c r="GJ69">
        <v>1021</v>
      </c>
      <c r="GK69">
        <v>935</v>
      </c>
      <c r="GL69">
        <v>862</v>
      </c>
      <c r="GM69">
        <v>530</v>
      </c>
      <c r="GN69">
        <v>434</v>
      </c>
      <c r="GO69">
        <v>424</v>
      </c>
      <c r="GP69">
        <v>415</v>
      </c>
      <c r="GQ69">
        <v>376</v>
      </c>
      <c r="GR69">
        <v>331</v>
      </c>
      <c r="GS69">
        <v>307</v>
      </c>
      <c r="GT69">
        <v>226</v>
      </c>
      <c r="GU69">
        <v>207</v>
      </c>
      <c r="GV69">
        <v>144</v>
      </c>
      <c r="GW69">
        <v>121</v>
      </c>
      <c r="GX69">
        <v>106</v>
      </c>
      <c r="GY69">
        <v>74</v>
      </c>
      <c r="GZ69">
        <v>58</v>
      </c>
      <c r="HA69">
        <v>704</v>
      </c>
      <c r="HB69">
        <v>980</v>
      </c>
      <c r="HC69">
        <v>899</v>
      </c>
      <c r="HD69">
        <v>812</v>
      </c>
      <c r="HE69">
        <v>669</v>
      </c>
      <c r="HF69">
        <v>612</v>
      </c>
      <c r="HG69">
        <v>612</v>
      </c>
      <c r="HH69">
        <v>557</v>
      </c>
      <c r="HI69">
        <v>460</v>
      </c>
      <c r="HJ69">
        <v>384</v>
      </c>
      <c r="HK69">
        <v>375</v>
      </c>
      <c r="HL69">
        <v>256</v>
      </c>
      <c r="HM69">
        <v>221</v>
      </c>
      <c r="HN69">
        <v>183</v>
      </c>
      <c r="HO69">
        <v>105</v>
      </c>
      <c r="HP69">
        <v>102</v>
      </c>
      <c r="HQ69">
        <v>49</v>
      </c>
      <c r="HR69">
        <v>54</v>
      </c>
      <c r="HS69">
        <v>4781</v>
      </c>
      <c r="HT69">
        <v>3</v>
      </c>
      <c r="HU69">
        <v>18</v>
      </c>
      <c r="HV69">
        <v>0</v>
      </c>
      <c r="HW69">
        <v>14</v>
      </c>
      <c r="HX69">
        <v>0</v>
      </c>
      <c r="HY69">
        <v>1</v>
      </c>
      <c r="HZ69">
        <v>2</v>
      </c>
      <c r="IA69">
        <v>536</v>
      </c>
      <c r="IB69">
        <v>874</v>
      </c>
      <c r="IC69">
        <v>1125</v>
      </c>
      <c r="ID69">
        <v>1162</v>
      </c>
      <c r="IE69">
        <v>845</v>
      </c>
      <c r="IF69">
        <v>563</v>
      </c>
      <c r="IG69">
        <v>280</v>
      </c>
      <c r="IH69">
        <v>166</v>
      </c>
      <c r="II69">
        <v>243</v>
      </c>
      <c r="IJ69">
        <v>792</v>
      </c>
      <c r="IK69">
        <v>1618</v>
      </c>
      <c r="IL69">
        <v>1583</v>
      </c>
      <c r="IM69">
        <v>1067</v>
      </c>
      <c r="IN69">
        <v>551</v>
      </c>
      <c r="IO69">
        <v>120</v>
      </c>
      <c r="IP69">
        <v>40</v>
      </c>
      <c r="IQ69">
        <v>11</v>
      </c>
      <c r="IR69">
        <v>6</v>
      </c>
      <c r="IS69">
        <v>2806</v>
      </c>
      <c r="IT69">
        <v>2030</v>
      </c>
      <c r="IU69">
        <v>751</v>
      </c>
      <c r="IV69">
        <v>169</v>
      </c>
      <c r="IW69">
        <v>32</v>
      </c>
      <c r="IX69">
        <v>2524</v>
      </c>
      <c r="IY69">
        <v>1326</v>
      </c>
      <c r="IZ69">
        <v>3</v>
      </c>
      <c r="JA69">
        <v>31</v>
      </c>
      <c r="JB69">
        <v>26</v>
      </c>
      <c r="JC69">
        <v>528</v>
      </c>
      <c r="JD69">
        <v>5522</v>
      </c>
      <c r="JE69">
        <v>266</v>
      </c>
      <c r="JF69">
        <v>6</v>
      </c>
      <c r="JH69" s="28">
        <v>0</v>
      </c>
      <c r="JI69" s="28">
        <v>0</v>
      </c>
      <c r="JJ69">
        <v>785</v>
      </c>
      <c r="JK69">
        <v>4460</v>
      </c>
      <c r="JL69">
        <v>543</v>
      </c>
      <c r="JM69">
        <v>6</v>
      </c>
      <c r="JN69">
        <v>4041</v>
      </c>
      <c r="JO69">
        <v>2966</v>
      </c>
      <c r="JP69">
        <v>855</v>
      </c>
      <c r="JQ69">
        <v>1259</v>
      </c>
      <c r="JR69">
        <v>4053</v>
      </c>
      <c r="JS69">
        <v>523</v>
      </c>
      <c r="JT69">
        <v>258</v>
      </c>
      <c r="JU69">
        <v>3974</v>
      </c>
      <c r="JV69">
        <v>635</v>
      </c>
      <c r="JW69" s="28"/>
      <c r="JX69" s="28"/>
      <c r="JY69" s="28"/>
      <c r="JZ69" s="28"/>
      <c r="KA69" s="28">
        <v>5609.9999999399997</v>
      </c>
      <c r="KB69">
        <v>19914</v>
      </c>
      <c r="KC69">
        <v>11</v>
      </c>
      <c r="KD69">
        <v>45</v>
      </c>
      <c r="KE69">
        <v>0</v>
      </c>
      <c r="KF69">
        <v>40</v>
      </c>
      <c r="KG69">
        <v>0</v>
      </c>
      <c r="KH69">
        <v>4</v>
      </c>
      <c r="KI69">
        <v>8</v>
      </c>
      <c r="KJ69">
        <v>3731</v>
      </c>
      <c r="KK69">
        <v>17938</v>
      </c>
      <c r="KL69">
        <v>2046</v>
      </c>
      <c r="KM69">
        <v>16</v>
      </c>
      <c r="KT69">
        <v>3460</v>
      </c>
      <c r="KU69">
        <v>3366</v>
      </c>
      <c r="KV69">
        <v>2903</v>
      </c>
      <c r="KW69">
        <v>367</v>
      </c>
      <c r="KX69">
        <v>76</v>
      </c>
      <c r="KZ69">
        <v>2805</v>
      </c>
      <c r="LA69">
        <v>357</v>
      </c>
      <c r="LB69">
        <v>83</v>
      </c>
      <c r="LD69">
        <v>1889</v>
      </c>
      <c r="LE69">
        <v>1848</v>
      </c>
      <c r="LF69">
        <v>816</v>
      </c>
      <c r="LG69">
        <v>1297</v>
      </c>
      <c r="LH69">
        <v>15658</v>
      </c>
      <c r="LI69">
        <v>87</v>
      </c>
      <c r="LJ69">
        <v>1369</v>
      </c>
      <c r="LK69">
        <v>336</v>
      </c>
      <c r="LL69">
        <v>1616</v>
      </c>
      <c r="LM69">
        <v>2</v>
      </c>
      <c r="LN69">
        <v>961</v>
      </c>
      <c r="LO69">
        <v>301</v>
      </c>
      <c r="LP69">
        <v>81</v>
      </c>
      <c r="LQ69">
        <v>1435</v>
      </c>
      <c r="LR69">
        <v>278</v>
      </c>
      <c r="LS69">
        <v>1921</v>
      </c>
      <c r="LT69">
        <v>6</v>
      </c>
      <c r="LU69">
        <v>949</v>
      </c>
      <c r="LV69">
        <v>275</v>
      </c>
      <c r="LW69" s="44"/>
      <c r="LX69" s="44"/>
      <c r="LY69" s="44"/>
      <c r="LZ69">
        <v>5794</v>
      </c>
      <c r="MA69">
        <v>23731</v>
      </c>
      <c r="MB69" t="s">
        <v>359</v>
      </c>
      <c r="MC69" t="s">
        <v>359</v>
      </c>
      <c r="MD69" s="26">
        <v>13.494698999999999</v>
      </c>
      <c r="ME69" s="26">
        <v>11.437711999999999</v>
      </c>
      <c r="MF69" s="26">
        <v>53.352919</v>
      </c>
      <c r="MG69" s="26">
        <v>35.727764000000001</v>
      </c>
      <c r="MH69" s="26">
        <v>13.548497999999999</v>
      </c>
      <c r="MI69" s="26">
        <v>3.3828099999999997</v>
      </c>
      <c r="MJ69" s="26">
        <v>5.4539179999999998</v>
      </c>
      <c r="MK69" s="26">
        <v>4.5909559999999994</v>
      </c>
      <c r="ML69" s="26">
        <v>3.1756989999999998</v>
      </c>
      <c r="MM69" s="26">
        <v>48.809112999999996</v>
      </c>
      <c r="MN69" s="26">
        <v>30.255436999999997</v>
      </c>
      <c r="MO69" s="26">
        <v>0.34171899999999999</v>
      </c>
      <c r="MP69" t="s">
        <v>1029</v>
      </c>
      <c r="MQ69">
        <v>707</v>
      </c>
      <c r="MR69">
        <v>68</v>
      </c>
    </row>
    <row r="70" spans="1:356">
      <c r="A70" t="s">
        <v>149</v>
      </c>
      <c r="B70" t="s">
        <v>150</v>
      </c>
      <c r="C70">
        <v>7602</v>
      </c>
      <c r="D70">
        <v>11157</v>
      </c>
      <c r="E70">
        <v>13755</v>
      </c>
      <c r="F70">
        <f t="shared" si="4"/>
        <v>2598</v>
      </c>
      <c r="G70" s="26">
        <f t="shared" si="5"/>
        <v>23.285829524065619</v>
      </c>
      <c r="H70">
        <v>6733</v>
      </c>
      <c r="I70">
        <v>7022</v>
      </c>
      <c r="J70">
        <v>0</v>
      </c>
      <c r="K70">
        <v>13755</v>
      </c>
      <c r="L70">
        <v>1190</v>
      </c>
      <c r="M70">
        <v>1071</v>
      </c>
      <c r="N70">
        <v>939</v>
      </c>
      <c r="O70">
        <v>713</v>
      </c>
      <c r="P70">
        <v>589</v>
      </c>
      <c r="Q70">
        <v>501</v>
      </c>
      <c r="R70">
        <v>412</v>
      </c>
      <c r="S70">
        <v>307</v>
      </c>
      <c r="T70">
        <v>219</v>
      </c>
      <c r="U70">
        <v>208</v>
      </c>
      <c r="V70">
        <v>129</v>
      </c>
      <c r="W70">
        <v>169</v>
      </c>
      <c r="X70">
        <v>110</v>
      </c>
      <c r="Y70">
        <v>176</v>
      </c>
      <c r="Z70">
        <v>0</v>
      </c>
      <c r="AA70">
        <v>1149</v>
      </c>
      <c r="AB70">
        <v>1107</v>
      </c>
      <c r="AC70">
        <v>846</v>
      </c>
      <c r="AD70">
        <v>793</v>
      </c>
      <c r="AE70">
        <v>709</v>
      </c>
      <c r="AF70">
        <v>536</v>
      </c>
      <c r="AG70">
        <v>459</v>
      </c>
      <c r="AH70">
        <v>340</v>
      </c>
      <c r="AI70">
        <v>236</v>
      </c>
      <c r="AJ70">
        <v>229</v>
      </c>
      <c r="AK70">
        <v>161</v>
      </c>
      <c r="AL70">
        <v>171</v>
      </c>
      <c r="AM70">
        <v>88</v>
      </c>
      <c r="AN70">
        <v>198</v>
      </c>
      <c r="AO70">
        <v>0</v>
      </c>
      <c r="AP70">
        <v>13741</v>
      </c>
      <c r="AQ70">
        <v>5</v>
      </c>
      <c r="AR70">
        <v>6</v>
      </c>
      <c r="AS70">
        <v>0</v>
      </c>
      <c r="AT70">
        <v>3</v>
      </c>
      <c r="AU70">
        <v>12129</v>
      </c>
      <c r="AV70">
        <v>5926</v>
      </c>
      <c r="AW70">
        <v>6203</v>
      </c>
      <c r="AX70">
        <v>6003</v>
      </c>
      <c r="AY70">
        <v>9877</v>
      </c>
      <c r="AZ70">
        <v>9877</v>
      </c>
      <c r="BA70">
        <v>0</v>
      </c>
      <c r="BB70">
        <v>463</v>
      </c>
      <c r="BC70">
        <v>426</v>
      </c>
      <c r="BD70">
        <v>1049</v>
      </c>
      <c r="BE70">
        <v>1093</v>
      </c>
      <c r="BF70">
        <v>923</v>
      </c>
      <c r="BG70">
        <v>824</v>
      </c>
      <c r="BH70">
        <v>699</v>
      </c>
      <c r="BI70">
        <v>780</v>
      </c>
      <c r="BJ70">
        <v>585</v>
      </c>
      <c r="BK70">
        <v>701</v>
      </c>
      <c r="BL70">
        <v>497</v>
      </c>
      <c r="BM70">
        <v>529</v>
      </c>
      <c r="BN70">
        <v>406</v>
      </c>
      <c r="BO70">
        <v>451</v>
      </c>
      <c r="BP70">
        <v>300</v>
      </c>
      <c r="BQ70">
        <v>330</v>
      </c>
      <c r="BR70">
        <v>218</v>
      </c>
      <c r="BS70">
        <v>232</v>
      </c>
      <c r="BT70">
        <v>207</v>
      </c>
      <c r="BU70">
        <v>227</v>
      </c>
      <c r="BV70">
        <v>129</v>
      </c>
      <c r="BW70">
        <v>157</v>
      </c>
      <c r="BX70">
        <v>168</v>
      </c>
      <c r="BY70">
        <v>169</v>
      </c>
      <c r="BZ70">
        <v>107</v>
      </c>
      <c r="CA70">
        <v>87</v>
      </c>
      <c r="CB70">
        <v>175</v>
      </c>
      <c r="CC70">
        <v>197</v>
      </c>
      <c r="CD70">
        <v>2703</v>
      </c>
      <c r="CE70">
        <v>1472</v>
      </c>
      <c r="CF70">
        <v>3006</v>
      </c>
      <c r="CG70">
        <v>4447</v>
      </c>
      <c r="CH70">
        <v>2312</v>
      </c>
      <c r="CI70">
        <v>398</v>
      </c>
      <c r="CJ70">
        <v>12319</v>
      </c>
      <c r="CK70">
        <v>1288</v>
      </c>
      <c r="CL70">
        <v>154</v>
      </c>
      <c r="CM70">
        <v>364</v>
      </c>
      <c r="CN70">
        <v>355</v>
      </c>
      <c r="CO70">
        <v>393</v>
      </c>
      <c r="CP70">
        <v>372</v>
      </c>
      <c r="CQ70">
        <v>1072</v>
      </c>
      <c r="CR70">
        <v>2252</v>
      </c>
      <c r="CS70">
        <v>7581</v>
      </c>
      <c r="CT70">
        <v>515</v>
      </c>
      <c r="CU70">
        <v>340</v>
      </c>
      <c r="CV70">
        <v>65</v>
      </c>
      <c r="CW70">
        <v>137</v>
      </c>
      <c r="CX70">
        <v>7</v>
      </c>
      <c r="CY70">
        <v>2110</v>
      </c>
      <c r="CZ70">
        <v>443</v>
      </c>
      <c r="DA70">
        <v>3</v>
      </c>
      <c r="DB70">
        <v>154</v>
      </c>
      <c r="DC70">
        <v>0</v>
      </c>
      <c r="DD70">
        <v>73</v>
      </c>
      <c r="DE70">
        <v>594</v>
      </c>
      <c r="DF70">
        <v>1294</v>
      </c>
      <c r="DG70">
        <v>11794</v>
      </c>
      <c r="DH70">
        <v>0</v>
      </c>
      <c r="DI70">
        <v>0</v>
      </c>
      <c r="DJ70">
        <v>0</v>
      </c>
      <c r="DK70">
        <v>0</v>
      </c>
      <c r="DL70">
        <v>0</v>
      </c>
      <c r="DM70">
        <v>1</v>
      </c>
      <c r="DN70">
        <v>4</v>
      </c>
      <c r="DO70">
        <v>3</v>
      </c>
      <c r="DP70">
        <v>10</v>
      </c>
      <c r="DQ70">
        <v>0</v>
      </c>
      <c r="DR70">
        <v>0</v>
      </c>
      <c r="DS70">
        <v>0</v>
      </c>
      <c r="DT70">
        <v>0</v>
      </c>
      <c r="DU70">
        <v>0</v>
      </c>
      <c r="DV70">
        <v>40</v>
      </c>
      <c r="DW70">
        <v>42</v>
      </c>
      <c r="DX70">
        <v>54</v>
      </c>
      <c r="DY70">
        <v>67</v>
      </c>
      <c r="DZ70">
        <v>43</v>
      </c>
      <c r="EA70">
        <v>47</v>
      </c>
      <c r="EB70">
        <v>18</v>
      </c>
      <c r="EC70">
        <v>12</v>
      </c>
      <c r="ED70">
        <v>12</v>
      </c>
      <c r="EE70">
        <v>15</v>
      </c>
      <c r="EF70">
        <v>8</v>
      </c>
      <c r="EG70">
        <v>13</v>
      </c>
      <c r="EH70">
        <v>8</v>
      </c>
      <c r="EI70">
        <v>16</v>
      </c>
      <c r="EJ70">
        <v>77</v>
      </c>
      <c r="EK70">
        <v>114</v>
      </c>
      <c r="EL70">
        <v>85</v>
      </c>
      <c r="EM70">
        <v>26</v>
      </c>
      <c r="EN70">
        <v>23</v>
      </c>
      <c r="EO70">
        <v>17</v>
      </c>
      <c r="EP70">
        <v>22</v>
      </c>
      <c r="EQ70">
        <v>1916</v>
      </c>
      <c r="ER70">
        <v>1874</v>
      </c>
      <c r="ES70">
        <v>42</v>
      </c>
      <c r="ET70">
        <v>2128</v>
      </c>
      <c r="EU70">
        <v>203</v>
      </c>
      <c r="EV70">
        <v>201</v>
      </c>
      <c r="EW70">
        <v>2</v>
      </c>
      <c r="EX70">
        <v>4169</v>
      </c>
      <c r="EY70" s="26">
        <v>74.987928999999994</v>
      </c>
      <c r="EZ70" s="26">
        <v>13.278608999999999</v>
      </c>
      <c r="FA70" s="26">
        <v>6.3254469999999996</v>
      </c>
      <c r="FB70" s="26">
        <v>5.3597299999999999</v>
      </c>
      <c r="FC70" s="26">
        <v>4.8286000000000003E-2</v>
      </c>
      <c r="FD70">
        <v>550</v>
      </c>
      <c r="FE70">
        <v>1062</v>
      </c>
      <c r="FF70">
        <v>38</v>
      </c>
      <c r="FG70">
        <v>330</v>
      </c>
      <c r="FH70">
        <v>1</v>
      </c>
      <c r="FI70">
        <v>130</v>
      </c>
      <c r="FJ70">
        <v>8</v>
      </c>
      <c r="FK70" s="26" t="s">
        <v>359</v>
      </c>
      <c r="FL70" s="26" t="s">
        <v>359</v>
      </c>
      <c r="FM70" s="26" t="s">
        <v>359</v>
      </c>
      <c r="FN70" s="26" t="s">
        <v>359</v>
      </c>
      <c r="FO70" s="28">
        <v>6328</v>
      </c>
      <c r="FP70" s="28">
        <v>404</v>
      </c>
      <c r="FQ70">
        <v>542</v>
      </c>
      <c r="FR70">
        <v>7</v>
      </c>
      <c r="FS70">
        <v>1</v>
      </c>
      <c r="FT70">
        <v>0</v>
      </c>
      <c r="FU70">
        <v>3897</v>
      </c>
      <c r="FV70">
        <v>7</v>
      </c>
      <c r="FW70">
        <v>27</v>
      </c>
      <c r="FX70">
        <v>1</v>
      </c>
      <c r="FY70">
        <v>6538</v>
      </c>
      <c r="FZ70">
        <v>478</v>
      </c>
      <c r="GA70">
        <v>478</v>
      </c>
      <c r="GB70">
        <v>8</v>
      </c>
      <c r="GC70">
        <v>0</v>
      </c>
      <c r="GD70">
        <v>3</v>
      </c>
      <c r="GE70">
        <v>4078</v>
      </c>
      <c r="GF70">
        <v>6</v>
      </c>
      <c r="GG70">
        <v>27</v>
      </c>
      <c r="GH70">
        <v>6</v>
      </c>
      <c r="GI70">
        <v>1077</v>
      </c>
      <c r="GJ70">
        <v>1039</v>
      </c>
      <c r="GK70">
        <v>907</v>
      </c>
      <c r="GL70">
        <v>667</v>
      </c>
      <c r="GM70">
        <v>529</v>
      </c>
      <c r="GN70">
        <v>464</v>
      </c>
      <c r="GO70">
        <v>393</v>
      </c>
      <c r="GP70">
        <v>295</v>
      </c>
      <c r="GQ70">
        <v>214</v>
      </c>
      <c r="GR70">
        <v>202</v>
      </c>
      <c r="GS70">
        <v>125</v>
      </c>
      <c r="GT70">
        <v>156</v>
      </c>
      <c r="GU70">
        <v>97</v>
      </c>
      <c r="GV70">
        <v>65</v>
      </c>
      <c r="GW70">
        <v>45</v>
      </c>
      <c r="GX70">
        <v>24</v>
      </c>
      <c r="GY70">
        <v>13</v>
      </c>
      <c r="GZ70">
        <v>16</v>
      </c>
      <c r="HA70">
        <v>984</v>
      </c>
      <c r="HB70">
        <v>1058</v>
      </c>
      <c r="HC70">
        <v>814</v>
      </c>
      <c r="HD70">
        <v>705</v>
      </c>
      <c r="HE70">
        <v>638</v>
      </c>
      <c r="HF70">
        <v>518</v>
      </c>
      <c r="HG70">
        <v>446</v>
      </c>
      <c r="HH70">
        <v>332</v>
      </c>
      <c r="HI70">
        <v>231</v>
      </c>
      <c r="HJ70">
        <v>219</v>
      </c>
      <c r="HK70">
        <v>156</v>
      </c>
      <c r="HL70">
        <v>164</v>
      </c>
      <c r="HM70">
        <v>85</v>
      </c>
      <c r="HN70">
        <v>76</v>
      </c>
      <c r="HO70">
        <v>43</v>
      </c>
      <c r="HP70">
        <v>31</v>
      </c>
      <c r="HQ70">
        <v>21</v>
      </c>
      <c r="HR70">
        <v>17</v>
      </c>
      <c r="HS70">
        <v>2616</v>
      </c>
      <c r="HT70">
        <v>0</v>
      </c>
      <c r="HU70">
        <v>48</v>
      </c>
      <c r="HV70">
        <v>0</v>
      </c>
      <c r="HW70">
        <v>0</v>
      </c>
      <c r="HX70">
        <v>0</v>
      </c>
      <c r="HY70">
        <v>0</v>
      </c>
      <c r="HZ70">
        <v>2</v>
      </c>
      <c r="IA70">
        <v>154</v>
      </c>
      <c r="IB70">
        <v>364</v>
      </c>
      <c r="IC70">
        <v>355</v>
      </c>
      <c r="ID70">
        <v>393</v>
      </c>
      <c r="IE70">
        <v>372</v>
      </c>
      <c r="IF70">
        <v>343</v>
      </c>
      <c r="IG70">
        <v>282</v>
      </c>
      <c r="IH70">
        <v>179</v>
      </c>
      <c r="II70">
        <v>268</v>
      </c>
      <c r="IJ70">
        <v>157</v>
      </c>
      <c r="IK70">
        <v>784</v>
      </c>
      <c r="IL70">
        <v>910</v>
      </c>
      <c r="IM70">
        <v>437</v>
      </c>
      <c r="IN70">
        <v>345</v>
      </c>
      <c r="IO70">
        <v>46</v>
      </c>
      <c r="IP70">
        <v>25</v>
      </c>
      <c r="IQ70">
        <v>2</v>
      </c>
      <c r="IR70">
        <v>4</v>
      </c>
      <c r="IS70">
        <v>913</v>
      </c>
      <c r="IT70">
        <v>939</v>
      </c>
      <c r="IU70">
        <v>431</v>
      </c>
      <c r="IV70">
        <v>350</v>
      </c>
      <c r="IW70">
        <v>77</v>
      </c>
      <c r="IX70">
        <v>516</v>
      </c>
      <c r="IY70">
        <v>472</v>
      </c>
      <c r="IZ70">
        <v>2</v>
      </c>
      <c r="JA70">
        <v>4</v>
      </c>
      <c r="JB70">
        <v>1</v>
      </c>
      <c r="JC70">
        <v>11</v>
      </c>
      <c r="JD70">
        <v>1814</v>
      </c>
      <c r="JE70">
        <v>896</v>
      </c>
      <c r="JF70">
        <v>0</v>
      </c>
      <c r="JH70" s="28">
        <v>1885.959981182931</v>
      </c>
      <c r="JI70" s="28">
        <v>167.90387909737242</v>
      </c>
      <c r="JJ70">
        <v>732</v>
      </c>
      <c r="JK70">
        <v>1948</v>
      </c>
      <c r="JL70">
        <v>30</v>
      </c>
      <c r="JM70">
        <v>0</v>
      </c>
      <c r="JN70">
        <v>214</v>
      </c>
      <c r="JO70">
        <v>11</v>
      </c>
      <c r="JP70">
        <v>78</v>
      </c>
      <c r="JQ70">
        <v>529</v>
      </c>
      <c r="JR70">
        <v>934</v>
      </c>
      <c r="JS70">
        <v>8</v>
      </c>
      <c r="JT70">
        <v>59</v>
      </c>
      <c r="JU70">
        <v>179</v>
      </c>
      <c r="JV70">
        <v>3</v>
      </c>
      <c r="JW70" s="28"/>
      <c r="JX70" s="28"/>
      <c r="JY70" s="28"/>
      <c r="JZ70" s="28"/>
      <c r="KA70" s="28">
        <v>2688.9999932000001</v>
      </c>
      <c r="KB70">
        <v>13216</v>
      </c>
      <c r="KC70">
        <v>0</v>
      </c>
      <c r="KD70">
        <v>185</v>
      </c>
      <c r="KE70">
        <v>0</v>
      </c>
      <c r="KF70">
        <v>0</v>
      </c>
      <c r="KG70">
        <v>0</v>
      </c>
      <c r="KH70">
        <v>0</v>
      </c>
      <c r="KI70">
        <v>6</v>
      </c>
      <c r="KJ70">
        <v>3457</v>
      </c>
      <c r="KK70">
        <v>9990</v>
      </c>
      <c r="KL70">
        <v>160</v>
      </c>
      <c r="KM70">
        <v>0</v>
      </c>
      <c r="KT70">
        <v>1939</v>
      </c>
      <c r="KU70">
        <v>1748</v>
      </c>
      <c r="KV70">
        <v>1807</v>
      </c>
      <c r="KW70">
        <v>89</v>
      </c>
      <c r="KX70">
        <v>9</v>
      </c>
      <c r="KZ70">
        <v>1647</v>
      </c>
      <c r="LA70">
        <v>63</v>
      </c>
      <c r="LB70">
        <v>9</v>
      </c>
      <c r="LD70">
        <v>1124</v>
      </c>
      <c r="LE70">
        <v>1060</v>
      </c>
      <c r="LF70">
        <v>1102</v>
      </c>
      <c r="LG70">
        <v>1628</v>
      </c>
      <c r="LH70">
        <v>7453</v>
      </c>
      <c r="LI70">
        <v>15</v>
      </c>
      <c r="LJ70">
        <v>1013</v>
      </c>
      <c r="LK70">
        <v>103</v>
      </c>
      <c r="LL70">
        <v>566</v>
      </c>
      <c r="LM70">
        <v>0</v>
      </c>
      <c r="LN70">
        <v>184</v>
      </c>
      <c r="LO70">
        <v>10</v>
      </c>
      <c r="LP70">
        <v>9</v>
      </c>
      <c r="LQ70">
        <v>1143</v>
      </c>
      <c r="LR70">
        <v>82</v>
      </c>
      <c r="LS70">
        <v>492</v>
      </c>
      <c r="LT70">
        <v>1</v>
      </c>
      <c r="LU70">
        <v>113</v>
      </c>
      <c r="LV70">
        <v>5</v>
      </c>
      <c r="LW70" s="44"/>
      <c r="LX70" s="44"/>
      <c r="LY70" s="44"/>
      <c r="LZ70">
        <v>2710</v>
      </c>
      <c r="MA70">
        <v>13607</v>
      </c>
      <c r="MB70">
        <v>11906</v>
      </c>
      <c r="MC70">
        <v>10550</v>
      </c>
      <c r="MD70" s="26">
        <v>36.629545</v>
      </c>
      <c r="ME70" s="26">
        <v>21.823361999999999</v>
      </c>
      <c r="MF70" s="26">
        <v>79.457935999999989</v>
      </c>
      <c r="MG70" s="26">
        <v>6.4122139999999996</v>
      </c>
      <c r="MH70" s="26">
        <v>27.01107</v>
      </c>
      <c r="MI70" s="26">
        <v>1.5498149999999999</v>
      </c>
      <c r="MJ70" s="26">
        <v>25.166052000000001</v>
      </c>
      <c r="MK70" s="26">
        <v>33.062730999999999</v>
      </c>
      <c r="ML70" s="26">
        <v>0.77490799999999993</v>
      </c>
      <c r="MM70" s="26">
        <v>99.594095999999993</v>
      </c>
      <c r="MN70" s="26">
        <v>92.103320999999994</v>
      </c>
      <c r="MO70" s="26">
        <v>2.8656470000000001</v>
      </c>
      <c r="MP70" t="s">
        <v>1030</v>
      </c>
      <c r="MQ70">
        <v>33</v>
      </c>
      <c r="MR70">
        <v>6</v>
      </c>
    </row>
    <row r="71" spans="1:356">
      <c r="A71" t="s">
        <v>269</v>
      </c>
      <c r="B71" t="s">
        <v>270</v>
      </c>
      <c r="C71">
        <v>5086</v>
      </c>
      <c r="D71">
        <v>6900</v>
      </c>
      <c r="E71">
        <v>8412</v>
      </c>
      <c r="F71">
        <f t="shared" si="4"/>
        <v>1512</v>
      </c>
      <c r="G71" s="26">
        <f t="shared" si="5"/>
        <v>21.91304347826086</v>
      </c>
      <c r="H71">
        <v>4215</v>
      </c>
      <c r="I71">
        <v>4197</v>
      </c>
      <c r="J71">
        <v>3191</v>
      </c>
      <c r="K71">
        <v>5221</v>
      </c>
      <c r="L71">
        <v>502</v>
      </c>
      <c r="M71">
        <v>521</v>
      </c>
      <c r="N71">
        <v>502</v>
      </c>
      <c r="O71">
        <v>413</v>
      </c>
      <c r="P71">
        <v>351</v>
      </c>
      <c r="Q71">
        <v>262</v>
      </c>
      <c r="R71">
        <v>333</v>
      </c>
      <c r="S71">
        <v>279</v>
      </c>
      <c r="T71">
        <v>249</v>
      </c>
      <c r="U71">
        <v>191</v>
      </c>
      <c r="V71">
        <v>143</v>
      </c>
      <c r="W71">
        <v>133</v>
      </c>
      <c r="X71">
        <v>101</v>
      </c>
      <c r="Y71">
        <v>235</v>
      </c>
      <c r="Z71">
        <v>0</v>
      </c>
      <c r="AA71">
        <v>494</v>
      </c>
      <c r="AB71">
        <v>555</v>
      </c>
      <c r="AC71">
        <v>495</v>
      </c>
      <c r="AD71">
        <v>367</v>
      </c>
      <c r="AE71">
        <v>379</v>
      </c>
      <c r="AF71">
        <v>339</v>
      </c>
      <c r="AG71">
        <v>340</v>
      </c>
      <c r="AH71">
        <v>278</v>
      </c>
      <c r="AI71">
        <v>210</v>
      </c>
      <c r="AJ71">
        <v>179</v>
      </c>
      <c r="AK71">
        <v>141</v>
      </c>
      <c r="AL71">
        <v>123</v>
      </c>
      <c r="AM71">
        <v>91</v>
      </c>
      <c r="AN71">
        <v>206</v>
      </c>
      <c r="AO71">
        <v>0</v>
      </c>
      <c r="AP71">
        <v>8234</v>
      </c>
      <c r="AQ71">
        <v>65</v>
      </c>
      <c r="AR71">
        <v>12</v>
      </c>
      <c r="AS71">
        <v>100</v>
      </c>
      <c r="AT71">
        <v>1</v>
      </c>
      <c r="AU71">
        <v>128</v>
      </c>
      <c r="AV71">
        <v>66</v>
      </c>
      <c r="AW71">
        <v>62</v>
      </c>
      <c r="AX71">
        <v>36</v>
      </c>
      <c r="AY71">
        <v>79</v>
      </c>
      <c r="AZ71">
        <v>66</v>
      </c>
      <c r="BA71">
        <v>13</v>
      </c>
      <c r="BB71">
        <v>1</v>
      </c>
      <c r="BC71">
        <v>3</v>
      </c>
      <c r="BD71">
        <v>12</v>
      </c>
      <c r="BE71">
        <v>9</v>
      </c>
      <c r="BF71">
        <v>2</v>
      </c>
      <c r="BG71">
        <v>11</v>
      </c>
      <c r="BH71">
        <v>6</v>
      </c>
      <c r="BI71">
        <v>6</v>
      </c>
      <c r="BJ71">
        <v>3</v>
      </c>
      <c r="BK71">
        <v>3</v>
      </c>
      <c r="BL71">
        <v>3</v>
      </c>
      <c r="BM71">
        <v>5</v>
      </c>
      <c r="BN71">
        <v>10</v>
      </c>
      <c r="BO71">
        <v>6</v>
      </c>
      <c r="BP71">
        <v>8</v>
      </c>
      <c r="BQ71">
        <v>8</v>
      </c>
      <c r="BR71">
        <v>6</v>
      </c>
      <c r="BS71">
        <v>1</v>
      </c>
      <c r="BT71">
        <v>2</v>
      </c>
      <c r="BU71">
        <v>2</v>
      </c>
      <c r="BV71">
        <v>2</v>
      </c>
      <c r="BW71">
        <v>1</v>
      </c>
      <c r="BX71">
        <v>1</v>
      </c>
      <c r="BY71">
        <v>2</v>
      </c>
      <c r="BZ71">
        <v>5</v>
      </c>
      <c r="CA71">
        <v>1</v>
      </c>
      <c r="CB71">
        <v>5</v>
      </c>
      <c r="CC71">
        <v>4</v>
      </c>
      <c r="CD71">
        <v>62</v>
      </c>
      <c r="CE71">
        <v>61</v>
      </c>
      <c r="CF71">
        <v>4</v>
      </c>
      <c r="CG71">
        <v>1</v>
      </c>
      <c r="CH71">
        <v>1533</v>
      </c>
      <c r="CI71">
        <v>296</v>
      </c>
      <c r="CJ71">
        <v>7329</v>
      </c>
      <c r="CK71">
        <v>1083</v>
      </c>
      <c r="CL71">
        <v>116</v>
      </c>
      <c r="CM71">
        <v>175</v>
      </c>
      <c r="CN71">
        <v>251</v>
      </c>
      <c r="CO71">
        <v>373</v>
      </c>
      <c r="CP71">
        <v>380</v>
      </c>
      <c r="CQ71">
        <v>534</v>
      </c>
      <c r="CR71">
        <v>1440</v>
      </c>
      <c r="CS71">
        <v>3987</v>
      </c>
      <c r="CT71">
        <v>709</v>
      </c>
      <c r="CU71">
        <v>238</v>
      </c>
      <c r="CV71">
        <v>66</v>
      </c>
      <c r="CW71">
        <v>137</v>
      </c>
      <c r="CX71">
        <v>6</v>
      </c>
      <c r="CY71">
        <v>1217</v>
      </c>
      <c r="CZ71">
        <v>491</v>
      </c>
      <c r="DA71">
        <v>4</v>
      </c>
      <c r="DB71">
        <v>116</v>
      </c>
      <c r="DC71">
        <v>1</v>
      </c>
      <c r="DD71">
        <v>527</v>
      </c>
      <c r="DE71">
        <v>1209</v>
      </c>
      <c r="DF71">
        <v>1252</v>
      </c>
      <c r="DG71">
        <v>2233</v>
      </c>
      <c r="DH71">
        <v>3191</v>
      </c>
      <c r="DI71">
        <v>0</v>
      </c>
      <c r="DJ71">
        <v>0</v>
      </c>
      <c r="DK71">
        <v>0</v>
      </c>
      <c r="DL71">
        <v>0</v>
      </c>
      <c r="DM71">
        <v>28</v>
      </c>
      <c r="DN71">
        <v>8</v>
      </c>
      <c r="DO71">
        <v>4</v>
      </c>
      <c r="DP71">
        <v>2</v>
      </c>
      <c r="DQ71">
        <v>1</v>
      </c>
      <c r="DR71">
        <v>0</v>
      </c>
      <c r="DS71">
        <v>0</v>
      </c>
      <c r="DT71">
        <v>0</v>
      </c>
      <c r="DU71">
        <v>0</v>
      </c>
      <c r="DV71">
        <v>145</v>
      </c>
      <c r="DW71">
        <v>121</v>
      </c>
      <c r="DX71">
        <v>192</v>
      </c>
      <c r="DY71">
        <v>213</v>
      </c>
      <c r="DZ71">
        <v>112</v>
      </c>
      <c r="EA71">
        <v>71</v>
      </c>
      <c r="EB71">
        <v>69</v>
      </c>
      <c r="EC71">
        <v>49</v>
      </c>
      <c r="ED71">
        <v>62</v>
      </c>
      <c r="EE71">
        <v>56</v>
      </c>
      <c r="EF71">
        <v>98</v>
      </c>
      <c r="EG71">
        <v>77</v>
      </c>
      <c r="EH71">
        <v>51</v>
      </c>
      <c r="EI71">
        <v>23</v>
      </c>
      <c r="EJ71">
        <v>236</v>
      </c>
      <c r="EK71">
        <v>353</v>
      </c>
      <c r="EL71">
        <v>154</v>
      </c>
      <c r="EM71">
        <v>95</v>
      </c>
      <c r="EN71">
        <v>100</v>
      </c>
      <c r="EO71">
        <v>148</v>
      </c>
      <c r="EP71">
        <v>65</v>
      </c>
      <c r="EQ71">
        <v>2385</v>
      </c>
      <c r="ER71">
        <v>2370</v>
      </c>
      <c r="ES71">
        <v>15</v>
      </c>
      <c r="ET71">
        <v>587</v>
      </c>
      <c r="EU71">
        <v>763</v>
      </c>
      <c r="EV71">
        <v>761</v>
      </c>
      <c r="EW71">
        <v>2</v>
      </c>
      <c r="EX71">
        <v>2144</v>
      </c>
      <c r="EY71" s="26">
        <v>83.200907999999998</v>
      </c>
      <c r="EZ71" s="26">
        <v>4.7294739999999997</v>
      </c>
      <c r="FA71" s="26">
        <v>4.502459</v>
      </c>
      <c r="FB71" s="26">
        <v>7.4158150000000003</v>
      </c>
      <c r="FC71" s="26">
        <v>0.15134300000000001</v>
      </c>
      <c r="FD71">
        <v>379</v>
      </c>
      <c r="FE71">
        <v>1348</v>
      </c>
      <c r="FF71">
        <v>102</v>
      </c>
      <c r="FG71">
        <v>705</v>
      </c>
      <c r="FH71">
        <v>0</v>
      </c>
      <c r="FI71">
        <v>500</v>
      </c>
      <c r="FJ71">
        <v>114</v>
      </c>
      <c r="FK71" s="26" t="s">
        <v>359</v>
      </c>
      <c r="FL71" s="26" t="s">
        <v>359</v>
      </c>
      <c r="FM71" s="26" t="s">
        <v>359</v>
      </c>
      <c r="FN71" s="26" t="s">
        <v>359</v>
      </c>
      <c r="FO71" s="28">
        <v>3644</v>
      </c>
      <c r="FP71" s="28">
        <v>571</v>
      </c>
      <c r="FQ71">
        <v>56</v>
      </c>
      <c r="FR71">
        <v>15</v>
      </c>
      <c r="FS71">
        <v>6</v>
      </c>
      <c r="FT71">
        <v>0</v>
      </c>
      <c r="FU71">
        <v>3560</v>
      </c>
      <c r="FV71">
        <v>2</v>
      </c>
      <c r="FW71">
        <v>1</v>
      </c>
      <c r="FX71">
        <v>0</v>
      </c>
      <c r="FY71">
        <v>3658</v>
      </c>
      <c r="FZ71">
        <v>539</v>
      </c>
      <c r="GA71">
        <v>69</v>
      </c>
      <c r="GB71">
        <v>20</v>
      </c>
      <c r="GC71">
        <v>9</v>
      </c>
      <c r="GD71">
        <v>1</v>
      </c>
      <c r="GE71">
        <v>3557</v>
      </c>
      <c r="GF71">
        <v>1</v>
      </c>
      <c r="GG71">
        <v>0</v>
      </c>
      <c r="GH71">
        <v>0</v>
      </c>
      <c r="GI71">
        <v>399</v>
      </c>
      <c r="GJ71">
        <v>462</v>
      </c>
      <c r="GK71">
        <v>459</v>
      </c>
      <c r="GL71">
        <v>365</v>
      </c>
      <c r="GM71">
        <v>303</v>
      </c>
      <c r="GN71">
        <v>227</v>
      </c>
      <c r="GO71">
        <v>300</v>
      </c>
      <c r="GP71">
        <v>235</v>
      </c>
      <c r="GQ71">
        <v>209</v>
      </c>
      <c r="GR71">
        <v>166</v>
      </c>
      <c r="GS71">
        <v>128</v>
      </c>
      <c r="GT71">
        <v>111</v>
      </c>
      <c r="GU71">
        <v>80</v>
      </c>
      <c r="GV71">
        <v>72</v>
      </c>
      <c r="GW71">
        <v>50</v>
      </c>
      <c r="GX71">
        <v>44</v>
      </c>
      <c r="GY71">
        <v>21</v>
      </c>
      <c r="GZ71">
        <v>13</v>
      </c>
      <c r="HA71">
        <v>355</v>
      </c>
      <c r="HB71">
        <v>503</v>
      </c>
      <c r="HC71">
        <v>446</v>
      </c>
      <c r="HD71">
        <v>320</v>
      </c>
      <c r="HE71">
        <v>326</v>
      </c>
      <c r="HF71">
        <v>295</v>
      </c>
      <c r="HG71">
        <v>303</v>
      </c>
      <c r="HH71">
        <v>258</v>
      </c>
      <c r="HI71">
        <v>193</v>
      </c>
      <c r="HJ71">
        <v>159</v>
      </c>
      <c r="HK71">
        <v>129</v>
      </c>
      <c r="HL71">
        <v>110</v>
      </c>
      <c r="HM71">
        <v>78</v>
      </c>
      <c r="HN71">
        <v>65</v>
      </c>
      <c r="HO71">
        <v>51</v>
      </c>
      <c r="HP71">
        <v>36</v>
      </c>
      <c r="HQ71">
        <v>19</v>
      </c>
      <c r="HR71">
        <v>12</v>
      </c>
      <c r="HS71">
        <v>1685</v>
      </c>
      <c r="HT71">
        <v>0</v>
      </c>
      <c r="HU71">
        <v>0</v>
      </c>
      <c r="HV71">
        <v>0</v>
      </c>
      <c r="HW71">
        <v>17</v>
      </c>
      <c r="HX71">
        <v>0</v>
      </c>
      <c r="HY71">
        <v>1</v>
      </c>
      <c r="HZ71">
        <v>0</v>
      </c>
      <c r="IA71">
        <v>113</v>
      </c>
      <c r="IB71">
        <v>171</v>
      </c>
      <c r="IC71">
        <v>249</v>
      </c>
      <c r="ID71">
        <v>370</v>
      </c>
      <c r="IE71">
        <v>375</v>
      </c>
      <c r="IF71">
        <v>242</v>
      </c>
      <c r="IG71">
        <v>148</v>
      </c>
      <c r="IH71">
        <v>64</v>
      </c>
      <c r="II71">
        <v>79</v>
      </c>
      <c r="IJ71">
        <v>162</v>
      </c>
      <c r="IK71">
        <v>346</v>
      </c>
      <c r="IL71">
        <v>564</v>
      </c>
      <c r="IM71">
        <v>402</v>
      </c>
      <c r="IN71">
        <v>209</v>
      </c>
      <c r="IO71">
        <v>82</v>
      </c>
      <c r="IP71">
        <v>28</v>
      </c>
      <c r="IQ71">
        <v>10</v>
      </c>
      <c r="IR71">
        <v>8</v>
      </c>
      <c r="IS71">
        <v>679</v>
      </c>
      <c r="IT71">
        <v>723</v>
      </c>
      <c r="IU71">
        <v>322</v>
      </c>
      <c r="IV71">
        <v>71</v>
      </c>
      <c r="IW71">
        <v>16</v>
      </c>
      <c r="IX71">
        <v>946</v>
      </c>
      <c r="IY71">
        <v>390</v>
      </c>
      <c r="IZ71">
        <v>1</v>
      </c>
      <c r="JA71">
        <v>15</v>
      </c>
      <c r="JB71">
        <v>0</v>
      </c>
      <c r="JC71">
        <v>101</v>
      </c>
      <c r="JD71">
        <v>1743</v>
      </c>
      <c r="JE71">
        <v>68</v>
      </c>
      <c r="JF71">
        <v>0</v>
      </c>
      <c r="JH71" s="28">
        <v>1268.5332671489889</v>
      </c>
      <c r="JI71" s="28">
        <v>71.466662937971208</v>
      </c>
      <c r="JJ71">
        <v>311</v>
      </c>
      <c r="JK71">
        <v>1435</v>
      </c>
      <c r="JL71">
        <v>65</v>
      </c>
      <c r="JM71">
        <v>0</v>
      </c>
      <c r="JN71">
        <v>920</v>
      </c>
      <c r="JO71">
        <v>800</v>
      </c>
      <c r="JP71">
        <v>486</v>
      </c>
      <c r="JQ71">
        <v>1107</v>
      </c>
      <c r="JR71">
        <v>1454</v>
      </c>
      <c r="JS71">
        <v>64</v>
      </c>
      <c r="JT71">
        <v>29</v>
      </c>
      <c r="JU71">
        <v>1261</v>
      </c>
      <c r="JV71">
        <v>310</v>
      </c>
      <c r="JW71" s="28"/>
      <c r="JX71" s="28"/>
      <c r="JY71" s="28"/>
      <c r="JZ71" s="28"/>
      <c r="KA71" s="28">
        <v>1773.00000432</v>
      </c>
      <c r="KB71">
        <v>7813</v>
      </c>
      <c r="KC71">
        <v>0</v>
      </c>
      <c r="KD71">
        <v>0</v>
      </c>
      <c r="KE71">
        <v>0</v>
      </c>
      <c r="KF71">
        <v>55</v>
      </c>
      <c r="KG71">
        <v>0</v>
      </c>
      <c r="KH71">
        <v>5</v>
      </c>
      <c r="KI71">
        <v>0</v>
      </c>
      <c r="KJ71">
        <v>1497</v>
      </c>
      <c r="KK71">
        <v>6583</v>
      </c>
      <c r="KL71">
        <v>272</v>
      </c>
      <c r="KM71">
        <v>0</v>
      </c>
      <c r="KT71">
        <v>1244</v>
      </c>
      <c r="KU71">
        <v>1230</v>
      </c>
      <c r="KV71">
        <v>1053</v>
      </c>
      <c r="KW71">
        <v>148</v>
      </c>
      <c r="KX71">
        <v>14</v>
      </c>
      <c r="KZ71">
        <v>1069</v>
      </c>
      <c r="LA71">
        <v>127</v>
      </c>
      <c r="LB71">
        <v>13</v>
      </c>
      <c r="LD71">
        <v>748</v>
      </c>
      <c r="LE71">
        <v>769</v>
      </c>
      <c r="LF71">
        <v>286</v>
      </c>
      <c r="LG71">
        <v>495</v>
      </c>
      <c r="LH71">
        <v>5343</v>
      </c>
      <c r="LI71">
        <v>5</v>
      </c>
      <c r="LJ71">
        <v>473</v>
      </c>
      <c r="LK71">
        <v>74</v>
      </c>
      <c r="LL71">
        <v>621</v>
      </c>
      <c r="LM71">
        <v>0</v>
      </c>
      <c r="LN71">
        <v>331</v>
      </c>
      <c r="LO71">
        <v>44</v>
      </c>
      <c r="LP71">
        <v>1</v>
      </c>
      <c r="LQ71">
        <v>449</v>
      </c>
      <c r="LR71">
        <v>82</v>
      </c>
      <c r="LS71">
        <v>564</v>
      </c>
      <c r="LT71">
        <v>0</v>
      </c>
      <c r="LU71">
        <v>347</v>
      </c>
      <c r="LV71">
        <v>40</v>
      </c>
      <c r="LW71" s="44"/>
      <c r="LX71" s="44"/>
      <c r="LY71" s="44"/>
      <c r="LZ71">
        <v>1811</v>
      </c>
      <c r="MA71">
        <v>8352</v>
      </c>
      <c r="MB71">
        <v>7682</v>
      </c>
      <c r="MC71">
        <v>46</v>
      </c>
      <c r="MD71" s="26">
        <v>14.617255999999999</v>
      </c>
      <c r="ME71" s="26">
        <v>8.3422459999999994</v>
      </c>
      <c r="MF71" s="26">
        <v>57.046602999999998</v>
      </c>
      <c r="MG71" s="26">
        <v>13.195435</v>
      </c>
      <c r="MH71" s="26">
        <v>17.172833000000001</v>
      </c>
      <c r="MI71" s="26">
        <v>4.1413579999999994</v>
      </c>
      <c r="MJ71" s="26">
        <v>2.0982879999999997</v>
      </c>
      <c r="MK71" s="26">
        <v>3.7548319999999999</v>
      </c>
      <c r="ML71" s="26">
        <v>2.0982879999999997</v>
      </c>
      <c r="MM71" s="26">
        <v>55.825510999999999</v>
      </c>
      <c r="MN71" s="26">
        <v>49.199337</v>
      </c>
      <c r="MO71" s="26">
        <v>0.635521</v>
      </c>
      <c r="MP71" t="s">
        <v>1029</v>
      </c>
      <c r="MQ71">
        <v>542</v>
      </c>
      <c r="MR71">
        <v>51</v>
      </c>
    </row>
    <row r="72" spans="1:356">
      <c r="A72" t="s">
        <v>151</v>
      </c>
      <c r="B72" t="s">
        <v>152</v>
      </c>
      <c r="C72">
        <v>59875</v>
      </c>
      <c r="D72">
        <v>69119</v>
      </c>
      <c r="E72">
        <v>76398</v>
      </c>
      <c r="F72">
        <f t="shared" si="4"/>
        <v>7279</v>
      </c>
      <c r="G72" s="26">
        <f t="shared" si="5"/>
        <v>10.531113008000688</v>
      </c>
      <c r="H72">
        <v>37425</v>
      </c>
      <c r="I72">
        <v>38973</v>
      </c>
      <c r="J72">
        <v>30545</v>
      </c>
      <c r="K72">
        <v>45853</v>
      </c>
      <c r="L72">
        <v>4183</v>
      </c>
      <c r="M72">
        <v>4571</v>
      </c>
      <c r="N72">
        <v>4483</v>
      </c>
      <c r="O72">
        <v>3749</v>
      </c>
      <c r="P72">
        <v>2716</v>
      </c>
      <c r="Q72">
        <v>2314</v>
      </c>
      <c r="R72">
        <v>2407</v>
      </c>
      <c r="S72">
        <v>2276</v>
      </c>
      <c r="T72">
        <v>2132</v>
      </c>
      <c r="U72">
        <v>1801</v>
      </c>
      <c r="V72">
        <v>1691</v>
      </c>
      <c r="W72">
        <v>1382</v>
      </c>
      <c r="X72">
        <v>1098</v>
      </c>
      <c r="Y72">
        <v>2619</v>
      </c>
      <c r="Z72">
        <v>3</v>
      </c>
      <c r="AA72">
        <v>4209</v>
      </c>
      <c r="AB72">
        <v>4477</v>
      </c>
      <c r="AC72">
        <v>4381</v>
      </c>
      <c r="AD72">
        <v>3916</v>
      </c>
      <c r="AE72">
        <v>3091</v>
      </c>
      <c r="AF72">
        <v>2791</v>
      </c>
      <c r="AG72">
        <v>2735</v>
      </c>
      <c r="AH72">
        <v>2516</v>
      </c>
      <c r="AI72">
        <v>2271</v>
      </c>
      <c r="AJ72">
        <v>1919</v>
      </c>
      <c r="AK72">
        <v>1656</v>
      </c>
      <c r="AL72">
        <v>1347</v>
      </c>
      <c r="AM72">
        <v>1078</v>
      </c>
      <c r="AN72">
        <v>2583</v>
      </c>
      <c r="AO72">
        <v>3</v>
      </c>
      <c r="AP72">
        <v>74162</v>
      </c>
      <c r="AQ72">
        <v>1031</v>
      </c>
      <c r="AR72">
        <v>178</v>
      </c>
      <c r="AS72">
        <v>1005</v>
      </c>
      <c r="AT72">
        <v>22</v>
      </c>
      <c r="AU72">
        <v>889</v>
      </c>
      <c r="AV72">
        <v>520</v>
      </c>
      <c r="AW72">
        <v>369</v>
      </c>
      <c r="AX72">
        <v>1244</v>
      </c>
      <c r="AY72">
        <v>755</v>
      </c>
      <c r="AZ72">
        <v>529</v>
      </c>
      <c r="BA72">
        <v>226</v>
      </c>
      <c r="BB72">
        <v>3</v>
      </c>
      <c r="BC72">
        <v>2</v>
      </c>
      <c r="BD72">
        <v>8</v>
      </c>
      <c r="BE72">
        <v>12</v>
      </c>
      <c r="BF72">
        <v>14</v>
      </c>
      <c r="BG72">
        <v>8</v>
      </c>
      <c r="BH72">
        <v>8</v>
      </c>
      <c r="BI72">
        <v>14</v>
      </c>
      <c r="BJ72">
        <v>18</v>
      </c>
      <c r="BK72">
        <v>18</v>
      </c>
      <c r="BL72">
        <v>10</v>
      </c>
      <c r="BM72">
        <v>25</v>
      </c>
      <c r="BN72">
        <v>23</v>
      </c>
      <c r="BO72">
        <v>12</v>
      </c>
      <c r="BP72">
        <v>23</v>
      </c>
      <c r="BQ72">
        <v>20</v>
      </c>
      <c r="BR72">
        <v>37</v>
      </c>
      <c r="BS72">
        <v>22</v>
      </c>
      <c r="BT72">
        <v>31</v>
      </c>
      <c r="BU72">
        <v>19</v>
      </c>
      <c r="BV72">
        <v>31</v>
      </c>
      <c r="BW72">
        <v>17</v>
      </c>
      <c r="BX72">
        <v>60</v>
      </c>
      <c r="BY72">
        <v>22</v>
      </c>
      <c r="BZ72">
        <v>47</v>
      </c>
      <c r="CA72">
        <v>31</v>
      </c>
      <c r="CB72">
        <v>207</v>
      </c>
      <c r="CC72">
        <v>147</v>
      </c>
      <c r="CD72">
        <v>513</v>
      </c>
      <c r="CE72">
        <v>364</v>
      </c>
      <c r="CF72">
        <v>4</v>
      </c>
      <c r="CG72">
        <v>2</v>
      </c>
      <c r="CH72">
        <v>12759</v>
      </c>
      <c r="CI72">
        <v>3848</v>
      </c>
      <c r="CJ72">
        <v>61216</v>
      </c>
      <c r="CK72">
        <v>15042</v>
      </c>
      <c r="CL72">
        <v>1248</v>
      </c>
      <c r="CM72">
        <v>1885</v>
      </c>
      <c r="CN72">
        <v>2596</v>
      </c>
      <c r="CO72">
        <v>3120</v>
      </c>
      <c r="CP72">
        <v>2739</v>
      </c>
      <c r="CQ72">
        <v>5019</v>
      </c>
      <c r="CR72">
        <v>11744</v>
      </c>
      <c r="CS72">
        <v>34407</v>
      </c>
      <c r="CT72">
        <v>7789</v>
      </c>
      <c r="CU72">
        <v>2348</v>
      </c>
      <c r="CV72">
        <v>954</v>
      </c>
      <c r="CW72">
        <v>2163</v>
      </c>
      <c r="CX72">
        <v>242</v>
      </c>
      <c r="CY72">
        <v>9842</v>
      </c>
      <c r="CZ72">
        <v>5344</v>
      </c>
      <c r="DA72">
        <v>143</v>
      </c>
      <c r="DB72">
        <v>1248</v>
      </c>
      <c r="DC72">
        <v>29</v>
      </c>
      <c r="DD72">
        <v>7312</v>
      </c>
      <c r="DE72">
        <v>17105</v>
      </c>
      <c r="DF72">
        <v>12020</v>
      </c>
      <c r="DG72">
        <v>9416</v>
      </c>
      <c r="DH72">
        <v>2730</v>
      </c>
      <c r="DI72">
        <v>0</v>
      </c>
      <c r="DJ72">
        <v>27815</v>
      </c>
      <c r="DK72">
        <v>0</v>
      </c>
      <c r="DL72">
        <v>0</v>
      </c>
      <c r="DM72">
        <v>232</v>
      </c>
      <c r="DN72">
        <v>100</v>
      </c>
      <c r="DO72">
        <v>34</v>
      </c>
      <c r="DP72">
        <v>15</v>
      </c>
      <c r="DQ72">
        <v>1</v>
      </c>
      <c r="DR72">
        <v>0</v>
      </c>
      <c r="DS72">
        <v>1</v>
      </c>
      <c r="DT72">
        <v>0</v>
      </c>
      <c r="DU72">
        <v>0</v>
      </c>
      <c r="DV72">
        <v>1081</v>
      </c>
      <c r="DW72">
        <v>1158</v>
      </c>
      <c r="DX72">
        <v>1729</v>
      </c>
      <c r="DY72">
        <v>1942</v>
      </c>
      <c r="DZ72">
        <v>932</v>
      </c>
      <c r="EA72">
        <v>777</v>
      </c>
      <c r="EB72">
        <v>604</v>
      </c>
      <c r="EC72">
        <v>470</v>
      </c>
      <c r="ED72">
        <v>492</v>
      </c>
      <c r="EE72">
        <v>482</v>
      </c>
      <c r="EF72">
        <v>629</v>
      </c>
      <c r="EG72">
        <v>644</v>
      </c>
      <c r="EH72">
        <v>423</v>
      </c>
      <c r="EI72">
        <v>347</v>
      </c>
      <c r="EJ72">
        <v>1794</v>
      </c>
      <c r="EK72">
        <v>2934</v>
      </c>
      <c r="EL72">
        <v>1402</v>
      </c>
      <c r="EM72">
        <v>895</v>
      </c>
      <c r="EN72">
        <v>818</v>
      </c>
      <c r="EO72">
        <v>1029</v>
      </c>
      <c r="EP72">
        <v>613</v>
      </c>
      <c r="EQ72">
        <v>21724</v>
      </c>
      <c r="ER72">
        <v>21401</v>
      </c>
      <c r="ES72">
        <v>323</v>
      </c>
      <c r="ET72">
        <v>4967</v>
      </c>
      <c r="EU72">
        <v>11655</v>
      </c>
      <c r="EV72">
        <v>11543</v>
      </c>
      <c r="EW72">
        <v>112</v>
      </c>
      <c r="EX72">
        <v>16800</v>
      </c>
      <c r="EY72" s="26">
        <v>28.721772999999999</v>
      </c>
      <c r="EZ72" s="26">
        <v>14.568054</v>
      </c>
      <c r="FA72" s="26">
        <v>21.392168999999999</v>
      </c>
      <c r="FB72" s="26">
        <v>35.007250999999997</v>
      </c>
      <c r="FC72" s="26">
        <v>0.31075199999999997</v>
      </c>
      <c r="FD72">
        <v>2235</v>
      </c>
      <c r="FE72">
        <v>14996</v>
      </c>
      <c r="FF72">
        <v>1393</v>
      </c>
      <c r="FG72">
        <v>6572</v>
      </c>
      <c r="FH72">
        <v>24</v>
      </c>
      <c r="FI72">
        <v>4890</v>
      </c>
      <c r="FJ72">
        <v>3260</v>
      </c>
      <c r="FK72" s="26" t="s">
        <v>359</v>
      </c>
      <c r="FL72" s="26" t="s">
        <v>359</v>
      </c>
      <c r="FM72" s="26" t="s">
        <v>359</v>
      </c>
      <c r="FN72" s="26" t="s">
        <v>359</v>
      </c>
      <c r="FO72" s="28">
        <v>29276</v>
      </c>
      <c r="FP72" s="28">
        <v>8140</v>
      </c>
      <c r="FQ72">
        <v>2783</v>
      </c>
      <c r="FR72">
        <v>1007</v>
      </c>
      <c r="FS72">
        <v>168</v>
      </c>
      <c r="FT72">
        <v>15</v>
      </c>
      <c r="FU72">
        <v>24540</v>
      </c>
      <c r="FV72">
        <v>50</v>
      </c>
      <c r="FW72">
        <v>138</v>
      </c>
      <c r="FX72">
        <v>9</v>
      </c>
      <c r="FY72">
        <v>31452</v>
      </c>
      <c r="FZ72">
        <v>7513</v>
      </c>
      <c r="GA72">
        <v>2991</v>
      </c>
      <c r="GB72">
        <v>1231</v>
      </c>
      <c r="GC72">
        <v>188</v>
      </c>
      <c r="GD72">
        <v>14</v>
      </c>
      <c r="GE72">
        <v>26289</v>
      </c>
      <c r="GF72">
        <v>33</v>
      </c>
      <c r="GG72">
        <v>145</v>
      </c>
      <c r="GH72">
        <v>8</v>
      </c>
      <c r="GI72">
        <v>2999</v>
      </c>
      <c r="GJ72">
        <v>3807</v>
      </c>
      <c r="GK72">
        <v>3738</v>
      </c>
      <c r="GL72">
        <v>3102</v>
      </c>
      <c r="GM72">
        <v>2010</v>
      </c>
      <c r="GN72">
        <v>1682</v>
      </c>
      <c r="GO72">
        <v>1796</v>
      </c>
      <c r="GP72">
        <v>1711</v>
      </c>
      <c r="GQ72">
        <v>1648</v>
      </c>
      <c r="GR72">
        <v>1406</v>
      </c>
      <c r="GS72">
        <v>1337</v>
      </c>
      <c r="GT72">
        <v>1099</v>
      </c>
      <c r="GU72">
        <v>852</v>
      </c>
      <c r="GV72">
        <v>668</v>
      </c>
      <c r="GW72">
        <v>526</v>
      </c>
      <c r="GX72">
        <v>398</v>
      </c>
      <c r="GY72">
        <v>267</v>
      </c>
      <c r="GZ72">
        <v>230</v>
      </c>
      <c r="HA72">
        <v>2983</v>
      </c>
      <c r="HB72">
        <v>3690</v>
      </c>
      <c r="HC72">
        <v>3729</v>
      </c>
      <c r="HD72">
        <v>3185</v>
      </c>
      <c r="HE72">
        <v>2392</v>
      </c>
      <c r="HF72">
        <v>2196</v>
      </c>
      <c r="HG72">
        <v>2195</v>
      </c>
      <c r="HH72">
        <v>2063</v>
      </c>
      <c r="HI72">
        <v>1909</v>
      </c>
      <c r="HJ72">
        <v>1609</v>
      </c>
      <c r="HK72">
        <v>1379</v>
      </c>
      <c r="HL72">
        <v>1097</v>
      </c>
      <c r="HM72">
        <v>894</v>
      </c>
      <c r="HN72">
        <v>740</v>
      </c>
      <c r="HO72">
        <v>500</v>
      </c>
      <c r="HP72">
        <v>373</v>
      </c>
      <c r="HQ72">
        <v>252</v>
      </c>
      <c r="HR72">
        <v>266</v>
      </c>
      <c r="HS72">
        <v>15409</v>
      </c>
      <c r="HT72">
        <v>0</v>
      </c>
      <c r="HU72">
        <v>131</v>
      </c>
      <c r="HV72">
        <v>0</v>
      </c>
      <c r="HW72">
        <v>39</v>
      </c>
      <c r="HX72">
        <v>0</v>
      </c>
      <c r="HY72">
        <v>6</v>
      </c>
      <c r="HZ72">
        <v>1</v>
      </c>
      <c r="IA72">
        <v>1240</v>
      </c>
      <c r="IB72">
        <v>1880</v>
      </c>
      <c r="IC72">
        <v>2590</v>
      </c>
      <c r="ID72">
        <v>3113</v>
      </c>
      <c r="IE72">
        <v>2732</v>
      </c>
      <c r="IF72">
        <v>1995</v>
      </c>
      <c r="IG72">
        <v>1243</v>
      </c>
      <c r="IH72">
        <v>748</v>
      </c>
      <c r="II72">
        <v>1021</v>
      </c>
      <c r="IJ72">
        <v>1331</v>
      </c>
      <c r="IK72">
        <v>3909</v>
      </c>
      <c r="IL72">
        <v>4883</v>
      </c>
      <c r="IM72">
        <v>3522</v>
      </c>
      <c r="IN72">
        <v>1704</v>
      </c>
      <c r="IO72">
        <v>752</v>
      </c>
      <c r="IP72">
        <v>249</v>
      </c>
      <c r="IQ72">
        <v>122</v>
      </c>
      <c r="IR72">
        <v>88</v>
      </c>
      <c r="IS72">
        <v>6482</v>
      </c>
      <c r="IT72">
        <v>6542</v>
      </c>
      <c r="IU72">
        <v>2595</v>
      </c>
      <c r="IV72">
        <v>732</v>
      </c>
      <c r="IW72">
        <v>209</v>
      </c>
      <c r="IX72">
        <v>6297</v>
      </c>
      <c r="IY72">
        <v>3566</v>
      </c>
      <c r="IZ72">
        <v>4</v>
      </c>
      <c r="JA72">
        <v>89</v>
      </c>
      <c r="JB72">
        <v>10</v>
      </c>
      <c r="JC72">
        <v>2458</v>
      </c>
      <c r="JD72">
        <v>16190</v>
      </c>
      <c r="JE72">
        <v>370</v>
      </c>
      <c r="JF72">
        <v>2</v>
      </c>
      <c r="JH72" s="28">
        <v>13263.012298066795</v>
      </c>
      <c r="JI72" s="28">
        <v>440.77018454083873</v>
      </c>
      <c r="JJ72">
        <v>1679</v>
      </c>
      <c r="JK72">
        <v>13278</v>
      </c>
      <c r="JL72">
        <v>1602</v>
      </c>
      <c r="JM72">
        <v>3</v>
      </c>
      <c r="JN72">
        <v>10911</v>
      </c>
      <c r="JO72">
        <v>5245</v>
      </c>
      <c r="JP72">
        <v>3013</v>
      </c>
      <c r="JQ72">
        <v>11001</v>
      </c>
      <c r="JR72">
        <v>12589</v>
      </c>
      <c r="JS72">
        <v>1835</v>
      </c>
      <c r="JT72">
        <v>961</v>
      </c>
      <c r="JU72">
        <v>11612</v>
      </c>
      <c r="JV72">
        <v>3239</v>
      </c>
      <c r="JW72" s="28"/>
      <c r="JX72" s="28"/>
      <c r="JY72" s="28"/>
      <c r="JZ72" s="28"/>
      <c r="KA72" s="28">
        <v>16396.000067720001</v>
      </c>
      <c r="KB72">
        <v>71770</v>
      </c>
      <c r="KC72">
        <v>0</v>
      </c>
      <c r="KD72">
        <v>369</v>
      </c>
      <c r="KE72">
        <v>0</v>
      </c>
      <c r="KF72">
        <v>157</v>
      </c>
      <c r="KG72">
        <v>0</v>
      </c>
      <c r="KH72">
        <v>28</v>
      </c>
      <c r="KI72">
        <v>1</v>
      </c>
      <c r="KJ72">
        <v>8322</v>
      </c>
      <c r="KK72">
        <v>61208</v>
      </c>
      <c r="KL72">
        <v>6539</v>
      </c>
      <c r="KM72">
        <v>4</v>
      </c>
      <c r="KT72">
        <v>11400</v>
      </c>
      <c r="KU72">
        <v>11391</v>
      </c>
      <c r="KV72">
        <v>9587</v>
      </c>
      <c r="KW72">
        <v>1158</v>
      </c>
      <c r="KX72">
        <v>336</v>
      </c>
      <c r="KZ72">
        <v>9472</v>
      </c>
      <c r="LA72">
        <v>1194</v>
      </c>
      <c r="LB72">
        <v>381</v>
      </c>
      <c r="LD72">
        <v>6701</v>
      </c>
      <c r="LE72">
        <v>6688</v>
      </c>
      <c r="LF72">
        <v>1785</v>
      </c>
      <c r="LG72">
        <v>3484</v>
      </c>
      <c r="LH72">
        <v>50088</v>
      </c>
      <c r="LI72">
        <v>75</v>
      </c>
      <c r="LJ72">
        <v>5523</v>
      </c>
      <c r="LK72">
        <v>711</v>
      </c>
      <c r="LL72">
        <v>4866</v>
      </c>
      <c r="LM72">
        <v>20</v>
      </c>
      <c r="LN72">
        <v>2814</v>
      </c>
      <c r="LO72">
        <v>1444</v>
      </c>
      <c r="LP72">
        <v>70</v>
      </c>
      <c r="LQ72">
        <v>5512</v>
      </c>
      <c r="LR72">
        <v>626</v>
      </c>
      <c r="LS72">
        <v>5251</v>
      </c>
      <c r="LT72">
        <v>20</v>
      </c>
      <c r="LU72">
        <v>2961</v>
      </c>
      <c r="LV72">
        <v>1251</v>
      </c>
      <c r="LW72" s="44"/>
      <c r="LX72" s="44"/>
      <c r="LY72" s="44"/>
      <c r="LZ72">
        <v>16562</v>
      </c>
      <c r="MA72">
        <v>76073</v>
      </c>
      <c r="MB72">
        <v>72967</v>
      </c>
      <c r="MC72">
        <v>928</v>
      </c>
      <c r="MD72" s="26">
        <v>10.519485999999999</v>
      </c>
      <c r="ME72" s="26">
        <v>8.3116719999999997</v>
      </c>
      <c r="MF72" s="26">
        <v>54.627854999999997</v>
      </c>
      <c r="MG72" s="26">
        <v>20.488755999999999</v>
      </c>
      <c r="MH72" s="26">
        <v>10.137665</v>
      </c>
      <c r="MI72" s="26">
        <v>1.207584</v>
      </c>
      <c r="MJ72" s="26">
        <v>7.0824780000000001</v>
      </c>
      <c r="MK72" s="26">
        <v>2.2340299999999997</v>
      </c>
      <c r="ML72" s="26">
        <v>1.002294</v>
      </c>
      <c r="MM72" s="26">
        <v>68.331119000000001</v>
      </c>
      <c r="MN72" s="26">
        <v>34.120274999999999</v>
      </c>
      <c r="MO72" s="26">
        <v>0.27752599999999999</v>
      </c>
      <c r="MP72" t="s">
        <v>1029</v>
      </c>
      <c r="MQ72">
        <v>768</v>
      </c>
      <c r="MR72">
        <v>74</v>
      </c>
    </row>
    <row r="73" spans="1:356">
      <c r="A73" t="s">
        <v>153</v>
      </c>
      <c r="B73" t="s">
        <v>154</v>
      </c>
      <c r="C73">
        <v>3135</v>
      </c>
      <c r="D73">
        <v>4317</v>
      </c>
      <c r="E73">
        <v>4765</v>
      </c>
      <c r="F73">
        <f t="shared" si="4"/>
        <v>448</v>
      </c>
      <c r="G73" s="26">
        <f t="shared" si="5"/>
        <v>10.377577021079446</v>
      </c>
      <c r="H73">
        <v>2440</v>
      </c>
      <c r="I73">
        <v>2325</v>
      </c>
      <c r="J73">
        <v>4765</v>
      </c>
      <c r="K73">
        <v>0</v>
      </c>
      <c r="L73">
        <v>275</v>
      </c>
      <c r="M73">
        <v>288</v>
      </c>
      <c r="N73">
        <v>310</v>
      </c>
      <c r="O73">
        <v>275</v>
      </c>
      <c r="P73">
        <v>165</v>
      </c>
      <c r="Q73">
        <v>157</v>
      </c>
      <c r="R73">
        <v>160</v>
      </c>
      <c r="S73">
        <v>182</v>
      </c>
      <c r="T73">
        <v>156</v>
      </c>
      <c r="U73">
        <v>124</v>
      </c>
      <c r="V73">
        <v>89</v>
      </c>
      <c r="W73">
        <v>75</v>
      </c>
      <c r="X73">
        <v>62</v>
      </c>
      <c r="Y73">
        <v>122</v>
      </c>
      <c r="Z73">
        <v>0</v>
      </c>
      <c r="AA73">
        <v>228</v>
      </c>
      <c r="AB73">
        <v>245</v>
      </c>
      <c r="AC73">
        <v>288</v>
      </c>
      <c r="AD73">
        <v>285</v>
      </c>
      <c r="AE73">
        <v>190</v>
      </c>
      <c r="AF73">
        <v>180</v>
      </c>
      <c r="AG73">
        <v>167</v>
      </c>
      <c r="AH73">
        <v>163</v>
      </c>
      <c r="AI73">
        <v>141</v>
      </c>
      <c r="AJ73">
        <v>111</v>
      </c>
      <c r="AK73">
        <v>98</v>
      </c>
      <c r="AL73">
        <v>79</v>
      </c>
      <c r="AM73">
        <v>38</v>
      </c>
      <c r="AN73">
        <v>112</v>
      </c>
      <c r="AO73">
        <v>0</v>
      </c>
      <c r="AP73">
        <v>4748</v>
      </c>
      <c r="AQ73">
        <v>15</v>
      </c>
      <c r="AR73">
        <v>0</v>
      </c>
      <c r="AS73">
        <v>1</v>
      </c>
      <c r="AT73">
        <v>1</v>
      </c>
      <c r="AU73">
        <v>22</v>
      </c>
      <c r="AV73">
        <v>13</v>
      </c>
      <c r="AW73">
        <v>9</v>
      </c>
      <c r="AX73" t="s">
        <v>393</v>
      </c>
      <c r="AY73">
        <v>53</v>
      </c>
      <c r="AZ73">
        <v>38</v>
      </c>
      <c r="BA73">
        <v>15</v>
      </c>
      <c r="BB73">
        <v>0</v>
      </c>
      <c r="BC73">
        <v>1</v>
      </c>
      <c r="BD73">
        <v>0</v>
      </c>
      <c r="BE73">
        <v>1</v>
      </c>
      <c r="BF73">
        <v>3</v>
      </c>
      <c r="BG73">
        <v>0</v>
      </c>
      <c r="BH73">
        <v>1</v>
      </c>
      <c r="BI73">
        <v>0</v>
      </c>
      <c r="BJ73">
        <v>0</v>
      </c>
      <c r="BK73">
        <v>1</v>
      </c>
      <c r="BL73">
        <v>2</v>
      </c>
      <c r="BM73">
        <v>0</v>
      </c>
      <c r="BN73">
        <v>0</v>
      </c>
      <c r="BO73">
        <v>2</v>
      </c>
      <c r="BP73">
        <v>2</v>
      </c>
      <c r="BQ73">
        <v>0</v>
      </c>
      <c r="BR73">
        <v>2</v>
      </c>
      <c r="BS73">
        <v>2</v>
      </c>
      <c r="BT73">
        <v>1</v>
      </c>
      <c r="BU73">
        <v>0</v>
      </c>
      <c r="BV73">
        <v>1</v>
      </c>
      <c r="BW73">
        <v>0</v>
      </c>
      <c r="BX73">
        <v>1</v>
      </c>
      <c r="BY73">
        <v>0</v>
      </c>
      <c r="BZ73">
        <v>0</v>
      </c>
      <c r="CA73">
        <v>1</v>
      </c>
      <c r="CB73">
        <v>0</v>
      </c>
      <c r="CC73">
        <v>1</v>
      </c>
      <c r="CD73">
        <v>13</v>
      </c>
      <c r="CE73">
        <v>8</v>
      </c>
      <c r="CF73">
        <v>0</v>
      </c>
      <c r="CG73">
        <v>1</v>
      </c>
      <c r="CH73">
        <v>928</v>
      </c>
      <c r="CI73">
        <v>121</v>
      </c>
      <c r="CJ73">
        <v>4335</v>
      </c>
      <c r="CK73">
        <v>430</v>
      </c>
      <c r="CL73">
        <v>53</v>
      </c>
      <c r="CM73">
        <v>128</v>
      </c>
      <c r="CN73">
        <v>150</v>
      </c>
      <c r="CO73">
        <v>222</v>
      </c>
      <c r="CP73">
        <v>200</v>
      </c>
      <c r="CQ73">
        <v>296</v>
      </c>
      <c r="CR73">
        <v>899</v>
      </c>
      <c r="CS73">
        <v>2158</v>
      </c>
      <c r="CT73">
        <v>368</v>
      </c>
      <c r="CU73">
        <v>196</v>
      </c>
      <c r="CV73">
        <v>36</v>
      </c>
      <c r="CW73">
        <v>59</v>
      </c>
      <c r="CX73">
        <v>0</v>
      </c>
      <c r="CY73">
        <v>712</v>
      </c>
      <c r="CZ73">
        <v>284</v>
      </c>
      <c r="DA73">
        <v>0</v>
      </c>
      <c r="DB73">
        <v>53</v>
      </c>
      <c r="DC73">
        <v>0</v>
      </c>
      <c r="DD73">
        <v>0</v>
      </c>
      <c r="DE73">
        <v>0</v>
      </c>
      <c r="DF73">
        <v>0</v>
      </c>
      <c r="DG73">
        <v>0</v>
      </c>
      <c r="DH73">
        <v>4765</v>
      </c>
      <c r="DI73">
        <v>0</v>
      </c>
      <c r="DJ73">
        <v>0</v>
      </c>
      <c r="DK73">
        <v>0</v>
      </c>
      <c r="DL73">
        <v>0</v>
      </c>
      <c r="DM73">
        <v>0</v>
      </c>
      <c r="DN73">
        <v>0</v>
      </c>
      <c r="DO73">
        <v>0</v>
      </c>
      <c r="DP73">
        <v>0</v>
      </c>
      <c r="DQ73">
        <v>1</v>
      </c>
      <c r="DR73">
        <v>0</v>
      </c>
      <c r="DS73">
        <v>0</v>
      </c>
      <c r="DT73">
        <v>0</v>
      </c>
      <c r="DU73">
        <v>0</v>
      </c>
      <c r="DV73">
        <v>139</v>
      </c>
      <c r="DW73">
        <v>130</v>
      </c>
      <c r="DX73">
        <v>196</v>
      </c>
      <c r="DY73">
        <v>209</v>
      </c>
      <c r="DZ73">
        <v>85</v>
      </c>
      <c r="EA73">
        <v>80</v>
      </c>
      <c r="EB73">
        <v>57</v>
      </c>
      <c r="EC73">
        <v>32</v>
      </c>
      <c r="ED73">
        <v>27</v>
      </c>
      <c r="EE73">
        <v>13</v>
      </c>
      <c r="EF73">
        <v>68</v>
      </c>
      <c r="EG73">
        <v>66</v>
      </c>
      <c r="EH73">
        <v>27</v>
      </c>
      <c r="EI73">
        <v>20</v>
      </c>
      <c r="EJ73">
        <v>252</v>
      </c>
      <c r="EK73">
        <v>376</v>
      </c>
      <c r="EL73">
        <v>149</v>
      </c>
      <c r="EM73">
        <v>79</v>
      </c>
      <c r="EN73">
        <v>36</v>
      </c>
      <c r="EO73">
        <v>124</v>
      </c>
      <c r="EP73">
        <v>46</v>
      </c>
      <c r="EQ73">
        <v>1193</v>
      </c>
      <c r="ER73">
        <v>1184</v>
      </c>
      <c r="ES73">
        <v>9</v>
      </c>
      <c r="ET73">
        <v>554</v>
      </c>
      <c r="EU73">
        <v>140</v>
      </c>
      <c r="EV73">
        <v>139</v>
      </c>
      <c r="EW73">
        <v>1</v>
      </c>
      <c r="EX73">
        <v>1605</v>
      </c>
      <c r="EY73" s="26">
        <v>80.981132000000002</v>
      </c>
      <c r="EZ73" s="26">
        <v>6.7169810000000005</v>
      </c>
      <c r="FA73" s="26">
        <v>4.9811319999999997</v>
      </c>
      <c r="FB73" s="26">
        <v>7.2452829999999997</v>
      </c>
      <c r="FC73" s="26">
        <v>7.5471999999999997E-2</v>
      </c>
      <c r="FD73">
        <v>160</v>
      </c>
      <c r="FE73">
        <v>656</v>
      </c>
      <c r="FF73">
        <v>59</v>
      </c>
      <c r="FG73">
        <v>238</v>
      </c>
      <c r="FH73">
        <v>0</v>
      </c>
      <c r="FI73">
        <v>199</v>
      </c>
      <c r="FJ73">
        <v>21</v>
      </c>
      <c r="FK73" s="26" t="s">
        <v>359</v>
      </c>
      <c r="FL73" s="26" t="s">
        <v>359</v>
      </c>
      <c r="FM73" s="26" t="s">
        <v>359</v>
      </c>
      <c r="FN73" s="26" t="s">
        <v>359</v>
      </c>
      <c r="FO73" s="28">
        <v>2244</v>
      </c>
      <c r="FP73" s="28">
        <v>196</v>
      </c>
      <c r="FQ73">
        <v>56</v>
      </c>
      <c r="FR73">
        <v>13</v>
      </c>
      <c r="FS73">
        <v>1</v>
      </c>
      <c r="FT73">
        <v>2</v>
      </c>
      <c r="FU73">
        <v>2078</v>
      </c>
      <c r="FV73">
        <v>8</v>
      </c>
      <c r="FW73">
        <v>0</v>
      </c>
      <c r="FX73">
        <v>0</v>
      </c>
      <c r="FY73">
        <v>2154</v>
      </c>
      <c r="FZ73">
        <v>171</v>
      </c>
      <c r="GA73">
        <v>50</v>
      </c>
      <c r="GB73">
        <v>11</v>
      </c>
      <c r="GC73">
        <v>0</v>
      </c>
      <c r="GD73">
        <v>2</v>
      </c>
      <c r="GE73">
        <v>2012</v>
      </c>
      <c r="GF73">
        <v>8</v>
      </c>
      <c r="GG73">
        <v>0</v>
      </c>
      <c r="GH73">
        <v>0</v>
      </c>
      <c r="GI73">
        <v>221</v>
      </c>
      <c r="GJ73">
        <v>272</v>
      </c>
      <c r="GK73">
        <v>290</v>
      </c>
      <c r="GL73">
        <v>258</v>
      </c>
      <c r="GM73">
        <v>153</v>
      </c>
      <c r="GN73">
        <v>148</v>
      </c>
      <c r="GO73">
        <v>151</v>
      </c>
      <c r="GP73">
        <v>171</v>
      </c>
      <c r="GQ73">
        <v>145</v>
      </c>
      <c r="GR73">
        <v>116</v>
      </c>
      <c r="GS73">
        <v>83</v>
      </c>
      <c r="GT73">
        <v>71</v>
      </c>
      <c r="GU73">
        <v>57</v>
      </c>
      <c r="GV73">
        <v>39</v>
      </c>
      <c r="GW73">
        <v>23</v>
      </c>
      <c r="GX73">
        <v>17</v>
      </c>
      <c r="GY73">
        <v>17</v>
      </c>
      <c r="GZ73">
        <v>12</v>
      </c>
      <c r="HA73">
        <v>185</v>
      </c>
      <c r="HB73">
        <v>227</v>
      </c>
      <c r="HC73">
        <v>267</v>
      </c>
      <c r="HD73">
        <v>266</v>
      </c>
      <c r="HE73">
        <v>177</v>
      </c>
      <c r="HF73">
        <v>171</v>
      </c>
      <c r="HG73">
        <v>158</v>
      </c>
      <c r="HH73">
        <v>156</v>
      </c>
      <c r="HI73">
        <v>134</v>
      </c>
      <c r="HJ73">
        <v>108</v>
      </c>
      <c r="HK73">
        <v>93</v>
      </c>
      <c r="HL73">
        <v>75</v>
      </c>
      <c r="HM73">
        <v>34</v>
      </c>
      <c r="HN73">
        <v>51</v>
      </c>
      <c r="HO73">
        <v>16</v>
      </c>
      <c r="HP73">
        <v>20</v>
      </c>
      <c r="HQ73">
        <v>10</v>
      </c>
      <c r="HR73">
        <v>6</v>
      </c>
      <c r="HS73">
        <v>1016</v>
      </c>
      <c r="HT73">
        <v>0</v>
      </c>
      <c r="HU73">
        <v>0</v>
      </c>
      <c r="HV73">
        <v>0</v>
      </c>
      <c r="HW73">
        <v>10</v>
      </c>
      <c r="HX73">
        <v>0</v>
      </c>
      <c r="HY73">
        <v>0</v>
      </c>
      <c r="HZ73">
        <v>0</v>
      </c>
      <c r="IA73">
        <v>53</v>
      </c>
      <c r="IB73">
        <v>127</v>
      </c>
      <c r="IC73">
        <v>148</v>
      </c>
      <c r="ID73">
        <v>219</v>
      </c>
      <c r="IE73">
        <v>197</v>
      </c>
      <c r="IF73">
        <v>140</v>
      </c>
      <c r="IG73">
        <v>70</v>
      </c>
      <c r="IH73">
        <v>40</v>
      </c>
      <c r="II73">
        <v>45</v>
      </c>
      <c r="IJ73">
        <v>277</v>
      </c>
      <c r="IK73">
        <v>353</v>
      </c>
      <c r="IL73">
        <v>274</v>
      </c>
      <c r="IM73">
        <v>108</v>
      </c>
      <c r="IN73">
        <v>18</v>
      </c>
      <c r="IO73">
        <v>7</v>
      </c>
      <c r="IP73">
        <v>1</v>
      </c>
      <c r="IQ73">
        <v>1</v>
      </c>
      <c r="IR73">
        <v>0</v>
      </c>
      <c r="IS73">
        <v>572</v>
      </c>
      <c r="IT73">
        <v>387</v>
      </c>
      <c r="IU73">
        <v>72</v>
      </c>
      <c r="IV73">
        <v>6</v>
      </c>
      <c r="IW73">
        <v>2</v>
      </c>
      <c r="IX73">
        <v>593</v>
      </c>
      <c r="IY73">
        <v>436</v>
      </c>
      <c r="IZ73">
        <v>0</v>
      </c>
      <c r="JA73">
        <v>6</v>
      </c>
      <c r="JB73">
        <v>0</v>
      </c>
      <c r="JC73">
        <v>0</v>
      </c>
      <c r="JD73">
        <v>1031</v>
      </c>
      <c r="JE73">
        <v>8</v>
      </c>
      <c r="JF73">
        <v>0</v>
      </c>
      <c r="JH73" s="28">
        <v>827.38902771436312</v>
      </c>
      <c r="JI73" s="28">
        <v>62.751415023280344</v>
      </c>
      <c r="JJ73">
        <v>93</v>
      </c>
      <c r="JK73">
        <v>915</v>
      </c>
      <c r="JL73">
        <v>31</v>
      </c>
      <c r="JM73">
        <v>0</v>
      </c>
      <c r="JN73">
        <v>793</v>
      </c>
      <c r="JO73">
        <v>277</v>
      </c>
      <c r="JP73">
        <v>92</v>
      </c>
      <c r="JQ73">
        <v>590</v>
      </c>
      <c r="JR73">
        <v>851</v>
      </c>
      <c r="JS73">
        <v>25</v>
      </c>
      <c r="JT73">
        <v>101</v>
      </c>
      <c r="JU73">
        <v>500</v>
      </c>
      <c r="JV73">
        <v>19</v>
      </c>
      <c r="JW73" s="28"/>
      <c r="JX73" s="28"/>
      <c r="JY73" s="28"/>
      <c r="JZ73" s="28"/>
      <c r="KA73" s="28">
        <v>1033.9999995200001</v>
      </c>
      <c r="KB73">
        <v>4637</v>
      </c>
      <c r="KC73">
        <v>0</v>
      </c>
      <c r="KD73">
        <v>0</v>
      </c>
      <c r="KE73">
        <v>0</v>
      </c>
      <c r="KF73">
        <v>41</v>
      </c>
      <c r="KG73">
        <v>0</v>
      </c>
      <c r="KH73">
        <v>0</v>
      </c>
      <c r="KI73">
        <v>0</v>
      </c>
      <c r="KJ73">
        <v>422</v>
      </c>
      <c r="KK73">
        <v>4170</v>
      </c>
      <c r="KL73">
        <v>132</v>
      </c>
      <c r="KM73">
        <v>0</v>
      </c>
      <c r="KT73">
        <v>756</v>
      </c>
      <c r="KU73">
        <v>684</v>
      </c>
      <c r="KV73">
        <v>649</v>
      </c>
      <c r="KW73">
        <v>92</v>
      </c>
      <c r="KX73">
        <v>6</v>
      </c>
      <c r="KZ73">
        <v>579</v>
      </c>
      <c r="LA73">
        <v>93</v>
      </c>
      <c r="LB73">
        <v>3</v>
      </c>
      <c r="LD73">
        <v>449</v>
      </c>
      <c r="LE73">
        <v>409</v>
      </c>
      <c r="LF73">
        <v>240</v>
      </c>
      <c r="LG73">
        <v>206</v>
      </c>
      <c r="LH73">
        <v>3131</v>
      </c>
      <c r="LI73">
        <v>6</v>
      </c>
      <c r="LJ73">
        <v>252</v>
      </c>
      <c r="LK73">
        <v>81</v>
      </c>
      <c r="LL73">
        <v>276</v>
      </c>
      <c r="LM73">
        <v>0</v>
      </c>
      <c r="LN73">
        <v>195</v>
      </c>
      <c r="LO73">
        <v>12</v>
      </c>
      <c r="LP73">
        <v>1</v>
      </c>
      <c r="LQ73">
        <v>297</v>
      </c>
      <c r="LR73">
        <v>59</v>
      </c>
      <c r="LS73">
        <v>353</v>
      </c>
      <c r="LT73">
        <v>0</v>
      </c>
      <c r="LU73">
        <v>154</v>
      </c>
      <c r="LV73">
        <v>7</v>
      </c>
      <c r="LW73" s="44"/>
      <c r="LX73" s="44"/>
      <c r="LY73" s="44"/>
      <c r="LZ73">
        <v>1039</v>
      </c>
      <c r="MA73">
        <v>4724</v>
      </c>
      <c r="MB73">
        <v>4262</v>
      </c>
      <c r="MC73">
        <v>21</v>
      </c>
      <c r="MD73" s="26">
        <v>14.24465</v>
      </c>
      <c r="ME73" s="26">
        <v>7.1921179999999998</v>
      </c>
      <c r="MF73" s="26">
        <v>61.130628999999999</v>
      </c>
      <c r="MG73" s="26">
        <v>7.701994</v>
      </c>
      <c r="MH73" s="26">
        <v>8.9509139999999991</v>
      </c>
      <c r="MI73" s="26">
        <v>1.2512029999999998</v>
      </c>
      <c r="MJ73" s="26">
        <v>0.86621799999999993</v>
      </c>
      <c r="MK73" s="26">
        <v>0.76997099999999996</v>
      </c>
      <c r="ML73" s="26">
        <v>0.48123199999999999</v>
      </c>
      <c r="MM73" s="26">
        <v>73.339749999999995</v>
      </c>
      <c r="MN73" s="26">
        <v>23.676611999999999</v>
      </c>
      <c r="MO73" s="26">
        <v>0.28470099999999998</v>
      </c>
      <c r="MP73" t="s">
        <v>1029</v>
      </c>
      <c r="MQ73">
        <v>759</v>
      </c>
      <c r="MR73">
        <v>72</v>
      </c>
    </row>
    <row r="74" spans="1:356">
      <c r="A74" t="s">
        <v>155</v>
      </c>
      <c r="B74" t="s">
        <v>156</v>
      </c>
      <c r="C74">
        <v>146696</v>
      </c>
      <c r="D74">
        <v>198877</v>
      </c>
      <c r="E74">
        <v>234661</v>
      </c>
      <c r="F74">
        <f t="shared" si="4"/>
        <v>35784</v>
      </c>
      <c r="G74" s="26">
        <f t="shared" si="5"/>
        <v>17.993030868325647</v>
      </c>
      <c r="H74">
        <v>115769</v>
      </c>
      <c r="I74">
        <v>118892</v>
      </c>
      <c r="J74">
        <v>74436</v>
      </c>
      <c r="K74">
        <v>160225</v>
      </c>
      <c r="L74">
        <v>14007</v>
      </c>
      <c r="M74">
        <v>15918</v>
      </c>
      <c r="N74">
        <v>15048</v>
      </c>
      <c r="O74">
        <v>12717</v>
      </c>
      <c r="P74">
        <v>9785</v>
      </c>
      <c r="Q74">
        <v>8370</v>
      </c>
      <c r="R74">
        <v>7402</v>
      </c>
      <c r="S74">
        <v>6631</v>
      </c>
      <c r="T74">
        <v>5693</v>
      </c>
      <c r="U74">
        <v>5033</v>
      </c>
      <c r="V74">
        <v>3947</v>
      </c>
      <c r="W74">
        <v>3016</v>
      </c>
      <c r="X74">
        <v>2336</v>
      </c>
      <c r="Y74">
        <v>4774</v>
      </c>
      <c r="Z74">
        <v>1092</v>
      </c>
      <c r="AA74">
        <v>13810</v>
      </c>
      <c r="AB74">
        <v>16056</v>
      </c>
      <c r="AC74">
        <v>14830</v>
      </c>
      <c r="AD74">
        <v>12844</v>
      </c>
      <c r="AE74">
        <v>10746</v>
      </c>
      <c r="AF74">
        <v>9537</v>
      </c>
      <c r="AG74">
        <v>8372</v>
      </c>
      <c r="AH74">
        <v>7339</v>
      </c>
      <c r="AI74">
        <v>6092</v>
      </c>
      <c r="AJ74">
        <v>5117</v>
      </c>
      <c r="AK74">
        <v>3850</v>
      </c>
      <c r="AL74">
        <v>2983</v>
      </c>
      <c r="AM74">
        <v>2131</v>
      </c>
      <c r="AN74">
        <v>4088</v>
      </c>
      <c r="AO74">
        <v>1097</v>
      </c>
      <c r="AP74">
        <v>229567</v>
      </c>
      <c r="AQ74">
        <v>2345</v>
      </c>
      <c r="AR74">
        <v>13</v>
      </c>
      <c r="AS74">
        <v>151</v>
      </c>
      <c r="AT74">
        <v>2585</v>
      </c>
      <c r="AU74">
        <v>158867</v>
      </c>
      <c r="AV74">
        <v>78535</v>
      </c>
      <c r="AW74">
        <v>80332</v>
      </c>
      <c r="AX74">
        <v>72993</v>
      </c>
      <c r="AY74">
        <v>133811</v>
      </c>
      <c r="AZ74">
        <v>98381</v>
      </c>
      <c r="BA74">
        <v>35430</v>
      </c>
      <c r="BB74">
        <v>3885</v>
      </c>
      <c r="BC74">
        <v>3936</v>
      </c>
      <c r="BD74">
        <v>10893</v>
      </c>
      <c r="BE74">
        <v>10951</v>
      </c>
      <c r="BF74">
        <v>10737</v>
      </c>
      <c r="BG74">
        <v>10515</v>
      </c>
      <c r="BH74">
        <v>9248</v>
      </c>
      <c r="BI74">
        <v>9348</v>
      </c>
      <c r="BJ74">
        <v>7287</v>
      </c>
      <c r="BK74">
        <v>8024</v>
      </c>
      <c r="BL74">
        <v>6403</v>
      </c>
      <c r="BM74">
        <v>7098</v>
      </c>
      <c r="BN74">
        <v>5519</v>
      </c>
      <c r="BO74">
        <v>6184</v>
      </c>
      <c r="BP74">
        <v>4982</v>
      </c>
      <c r="BQ74">
        <v>5451</v>
      </c>
      <c r="BR74">
        <v>4254</v>
      </c>
      <c r="BS74">
        <v>4564</v>
      </c>
      <c r="BT74">
        <v>3924</v>
      </c>
      <c r="BU74">
        <v>3922</v>
      </c>
      <c r="BV74">
        <v>3081</v>
      </c>
      <c r="BW74">
        <v>2979</v>
      </c>
      <c r="BX74">
        <v>2364</v>
      </c>
      <c r="BY74">
        <v>2337</v>
      </c>
      <c r="BZ74">
        <v>1910</v>
      </c>
      <c r="CA74">
        <v>1686</v>
      </c>
      <c r="CB74">
        <v>4048</v>
      </c>
      <c r="CC74">
        <v>3337</v>
      </c>
      <c r="CD74">
        <v>63758</v>
      </c>
      <c r="CE74">
        <v>58107</v>
      </c>
      <c r="CF74">
        <v>13348</v>
      </c>
      <c r="CG74">
        <v>20831</v>
      </c>
      <c r="CH74">
        <v>38708</v>
      </c>
      <c r="CI74">
        <v>8150</v>
      </c>
      <c r="CJ74">
        <v>200659</v>
      </c>
      <c r="CK74">
        <v>33099</v>
      </c>
      <c r="CL74">
        <v>2239</v>
      </c>
      <c r="CM74">
        <v>4987</v>
      </c>
      <c r="CN74">
        <v>6956</v>
      </c>
      <c r="CO74">
        <v>8463</v>
      </c>
      <c r="CP74">
        <v>7593</v>
      </c>
      <c r="CQ74">
        <v>16620</v>
      </c>
      <c r="CR74">
        <v>37598</v>
      </c>
      <c r="CS74">
        <v>118527</v>
      </c>
      <c r="CT74">
        <v>15180</v>
      </c>
      <c r="CU74">
        <v>6694</v>
      </c>
      <c r="CV74">
        <v>1808</v>
      </c>
      <c r="CW74">
        <v>4948</v>
      </c>
      <c r="CX74">
        <v>382</v>
      </c>
      <c r="CY74">
        <v>32383</v>
      </c>
      <c r="CZ74">
        <v>11532</v>
      </c>
      <c r="DA74">
        <v>214</v>
      </c>
      <c r="DB74">
        <v>2239</v>
      </c>
      <c r="DC74">
        <v>57</v>
      </c>
      <c r="DD74">
        <v>22796</v>
      </c>
      <c r="DE74">
        <v>27582</v>
      </c>
      <c r="DF74">
        <v>29855</v>
      </c>
      <c r="DG74">
        <v>79992</v>
      </c>
      <c r="DH74">
        <v>3466</v>
      </c>
      <c r="DI74">
        <v>11298</v>
      </c>
      <c r="DJ74">
        <v>59672</v>
      </c>
      <c r="DK74">
        <v>0</v>
      </c>
      <c r="DL74">
        <v>0</v>
      </c>
      <c r="DM74">
        <v>934</v>
      </c>
      <c r="DN74">
        <v>181</v>
      </c>
      <c r="DO74">
        <v>84</v>
      </c>
      <c r="DP74">
        <v>81</v>
      </c>
      <c r="DQ74">
        <v>1</v>
      </c>
      <c r="DR74">
        <v>2</v>
      </c>
      <c r="DS74">
        <v>2</v>
      </c>
      <c r="DT74">
        <v>0</v>
      </c>
      <c r="DU74">
        <v>0</v>
      </c>
      <c r="DV74">
        <v>3155</v>
      </c>
      <c r="DW74">
        <v>3472</v>
      </c>
      <c r="DX74">
        <v>4563</v>
      </c>
      <c r="DY74">
        <v>4795</v>
      </c>
      <c r="DZ74">
        <v>2781</v>
      </c>
      <c r="EA74">
        <v>2608</v>
      </c>
      <c r="EB74">
        <v>2247</v>
      </c>
      <c r="EC74">
        <v>2109</v>
      </c>
      <c r="ED74">
        <v>1678</v>
      </c>
      <c r="EE74">
        <v>1708</v>
      </c>
      <c r="EF74">
        <v>2134</v>
      </c>
      <c r="EG74">
        <v>2256</v>
      </c>
      <c r="EH74">
        <v>1114</v>
      </c>
      <c r="EI74">
        <v>894</v>
      </c>
      <c r="EJ74">
        <v>4426</v>
      </c>
      <c r="EK74">
        <v>6302</v>
      </c>
      <c r="EL74">
        <v>3583</v>
      </c>
      <c r="EM74">
        <v>2729</v>
      </c>
      <c r="EN74">
        <v>2202</v>
      </c>
      <c r="EO74">
        <v>2865</v>
      </c>
      <c r="EP74">
        <v>1348</v>
      </c>
      <c r="EQ74">
        <v>63877</v>
      </c>
      <c r="ER74">
        <v>63355</v>
      </c>
      <c r="ES74">
        <v>522</v>
      </c>
      <c r="ET74">
        <v>14381</v>
      </c>
      <c r="EU74">
        <v>38884</v>
      </c>
      <c r="EV74">
        <v>38637</v>
      </c>
      <c r="EW74">
        <v>247</v>
      </c>
      <c r="EX74">
        <v>42685</v>
      </c>
      <c r="EY74" s="26">
        <v>68.401032000000001</v>
      </c>
      <c r="EZ74" s="26">
        <v>6.4290149999999997</v>
      </c>
      <c r="FA74" s="26">
        <v>8.9731280000000009</v>
      </c>
      <c r="FB74" s="26">
        <v>15.765587999999999</v>
      </c>
      <c r="FC74" s="26">
        <v>0.43123699999999998</v>
      </c>
      <c r="FD74">
        <v>18489</v>
      </c>
      <c r="FE74">
        <v>36303</v>
      </c>
      <c r="FF74">
        <v>5513</v>
      </c>
      <c r="FG74">
        <v>18875</v>
      </c>
      <c r="FH74">
        <v>54</v>
      </c>
      <c r="FI74">
        <v>16247</v>
      </c>
      <c r="FJ74">
        <v>7188</v>
      </c>
      <c r="FK74" s="26" t="s">
        <v>359</v>
      </c>
      <c r="FL74" s="26" t="s">
        <v>359</v>
      </c>
      <c r="FM74" s="26" t="s">
        <v>359</v>
      </c>
      <c r="FN74" s="26" t="s">
        <v>359</v>
      </c>
      <c r="FO74" s="28">
        <v>79281</v>
      </c>
      <c r="FP74" s="28">
        <v>35267</v>
      </c>
      <c r="FQ74">
        <v>13475</v>
      </c>
      <c r="FR74">
        <v>2965</v>
      </c>
      <c r="FS74">
        <v>221</v>
      </c>
      <c r="FT74">
        <v>773</v>
      </c>
      <c r="FU74">
        <v>47887</v>
      </c>
      <c r="FV74">
        <v>257</v>
      </c>
      <c r="FW74">
        <v>380</v>
      </c>
      <c r="FX74">
        <v>1221</v>
      </c>
      <c r="FY74">
        <v>83778</v>
      </c>
      <c r="FZ74">
        <v>33939</v>
      </c>
      <c r="GA74">
        <v>13144</v>
      </c>
      <c r="GB74">
        <v>3103</v>
      </c>
      <c r="GC74">
        <v>256</v>
      </c>
      <c r="GD74">
        <v>655</v>
      </c>
      <c r="GE74">
        <v>52059</v>
      </c>
      <c r="GF74">
        <v>243</v>
      </c>
      <c r="GG74">
        <v>337</v>
      </c>
      <c r="GH74">
        <v>1175</v>
      </c>
      <c r="GI74">
        <v>8380</v>
      </c>
      <c r="GJ74">
        <v>11705</v>
      </c>
      <c r="GK74">
        <v>11324</v>
      </c>
      <c r="GL74">
        <v>8941</v>
      </c>
      <c r="GM74">
        <v>6228</v>
      </c>
      <c r="GN74">
        <v>5590</v>
      </c>
      <c r="GO74">
        <v>5156</v>
      </c>
      <c r="GP74">
        <v>4669</v>
      </c>
      <c r="GQ74">
        <v>4058</v>
      </c>
      <c r="GR74">
        <v>3528</v>
      </c>
      <c r="GS74">
        <v>2702</v>
      </c>
      <c r="GT74">
        <v>2070</v>
      </c>
      <c r="GU74">
        <v>1558</v>
      </c>
      <c r="GV74">
        <v>1257</v>
      </c>
      <c r="GW74">
        <v>849</v>
      </c>
      <c r="GX74">
        <v>589</v>
      </c>
      <c r="GY74">
        <v>336</v>
      </c>
      <c r="GZ74">
        <v>340</v>
      </c>
      <c r="HA74">
        <v>8470</v>
      </c>
      <c r="HB74">
        <v>11828</v>
      </c>
      <c r="HC74">
        <v>11052</v>
      </c>
      <c r="HD74">
        <v>8644</v>
      </c>
      <c r="HE74">
        <v>7257</v>
      </c>
      <c r="HF74">
        <v>6845</v>
      </c>
      <c r="HG74">
        <v>6285</v>
      </c>
      <c r="HH74">
        <v>5523</v>
      </c>
      <c r="HI74">
        <v>4564</v>
      </c>
      <c r="HJ74">
        <v>3839</v>
      </c>
      <c r="HK74">
        <v>2800</v>
      </c>
      <c r="HL74">
        <v>2161</v>
      </c>
      <c r="HM74">
        <v>1501</v>
      </c>
      <c r="HN74">
        <v>1190</v>
      </c>
      <c r="HO74">
        <v>760</v>
      </c>
      <c r="HP74">
        <v>494</v>
      </c>
      <c r="HQ74">
        <v>304</v>
      </c>
      <c r="HR74">
        <v>260</v>
      </c>
      <c r="HS74">
        <v>41309</v>
      </c>
      <c r="HT74">
        <v>137</v>
      </c>
      <c r="HU74">
        <v>1052</v>
      </c>
      <c r="HV74">
        <v>0</v>
      </c>
      <c r="HW74">
        <v>138</v>
      </c>
      <c r="HX74">
        <v>0</v>
      </c>
      <c r="HY74">
        <v>11</v>
      </c>
      <c r="HZ74">
        <v>421</v>
      </c>
      <c r="IA74">
        <v>2217</v>
      </c>
      <c r="IB74">
        <v>4971</v>
      </c>
      <c r="IC74">
        <v>6923</v>
      </c>
      <c r="ID74">
        <v>8441</v>
      </c>
      <c r="IE74">
        <v>7574</v>
      </c>
      <c r="IF74">
        <v>5579</v>
      </c>
      <c r="IG74">
        <v>3915</v>
      </c>
      <c r="IH74">
        <v>2673</v>
      </c>
      <c r="II74">
        <v>4416</v>
      </c>
      <c r="IJ74">
        <v>3404</v>
      </c>
      <c r="IK74">
        <v>15956</v>
      </c>
      <c r="IL74">
        <v>13831</v>
      </c>
      <c r="IM74">
        <v>7302</v>
      </c>
      <c r="IN74">
        <v>3621</v>
      </c>
      <c r="IO74">
        <v>1314</v>
      </c>
      <c r="IP74">
        <v>463</v>
      </c>
      <c r="IQ74">
        <v>208</v>
      </c>
      <c r="IR74">
        <v>168</v>
      </c>
      <c r="IS74">
        <v>20166</v>
      </c>
      <c r="IT74">
        <v>15775</v>
      </c>
      <c r="IU74">
        <v>6642</v>
      </c>
      <c r="IV74">
        <v>2614</v>
      </c>
      <c r="IW74">
        <v>1070</v>
      </c>
      <c r="IX74">
        <v>16410</v>
      </c>
      <c r="IY74">
        <v>13311</v>
      </c>
      <c r="IZ74">
        <v>529</v>
      </c>
      <c r="JA74">
        <v>202</v>
      </c>
      <c r="JB74">
        <v>234</v>
      </c>
      <c r="JC74">
        <v>3794</v>
      </c>
      <c r="JD74">
        <v>36858</v>
      </c>
      <c r="JE74">
        <v>9404</v>
      </c>
      <c r="JF74">
        <v>447</v>
      </c>
      <c r="JH74" s="28">
        <v>29750.214312511551</v>
      </c>
      <c r="JI74" s="28">
        <v>3465.7447217391336</v>
      </c>
      <c r="JJ74">
        <v>12721</v>
      </c>
      <c r="JK74">
        <v>31223</v>
      </c>
      <c r="JL74">
        <v>2323</v>
      </c>
      <c r="JM74">
        <v>442</v>
      </c>
      <c r="JN74">
        <v>18440</v>
      </c>
      <c r="JO74">
        <v>7120</v>
      </c>
      <c r="JP74">
        <v>4863</v>
      </c>
      <c r="JQ74">
        <v>13775</v>
      </c>
      <c r="JR74">
        <v>24234</v>
      </c>
      <c r="JS74">
        <v>3438</v>
      </c>
      <c r="JT74">
        <v>1482</v>
      </c>
      <c r="JU74">
        <v>20489</v>
      </c>
      <c r="JV74">
        <v>3255</v>
      </c>
      <c r="JW74" s="28"/>
      <c r="JX74" s="28"/>
      <c r="JY74" s="28"/>
      <c r="JZ74" s="28"/>
      <c r="KA74" s="28">
        <v>43659.999961499998</v>
      </c>
      <c r="KB74">
        <v>211277</v>
      </c>
      <c r="KC74">
        <v>520</v>
      </c>
      <c r="KD74">
        <v>2960</v>
      </c>
      <c r="KE74">
        <v>0</v>
      </c>
      <c r="KF74">
        <v>545</v>
      </c>
      <c r="KG74">
        <v>0</v>
      </c>
      <c r="KH74">
        <v>54</v>
      </c>
      <c r="KI74">
        <v>2071</v>
      </c>
      <c r="KJ74">
        <v>67963</v>
      </c>
      <c r="KK74">
        <v>153154</v>
      </c>
      <c r="KL74">
        <v>9859</v>
      </c>
      <c r="KM74">
        <v>2183</v>
      </c>
      <c r="KT74">
        <v>38626</v>
      </c>
      <c r="KU74">
        <v>37454</v>
      </c>
      <c r="KV74">
        <v>32385</v>
      </c>
      <c r="KW74">
        <v>4313</v>
      </c>
      <c r="KX74">
        <v>944</v>
      </c>
      <c r="KZ74">
        <v>31957</v>
      </c>
      <c r="LA74">
        <v>3621</v>
      </c>
      <c r="LB74">
        <v>901</v>
      </c>
      <c r="LD74">
        <v>20575</v>
      </c>
      <c r="LE74">
        <v>20676</v>
      </c>
      <c r="LF74">
        <v>11377</v>
      </c>
      <c r="LG74">
        <v>19882</v>
      </c>
      <c r="LH74">
        <v>142803</v>
      </c>
      <c r="LI74">
        <v>192</v>
      </c>
      <c r="LJ74">
        <v>11673</v>
      </c>
      <c r="LK74">
        <v>2944</v>
      </c>
      <c r="LL74">
        <v>13625</v>
      </c>
      <c r="LM74">
        <v>38</v>
      </c>
      <c r="LN74">
        <v>10159</v>
      </c>
      <c r="LO74">
        <v>3140</v>
      </c>
      <c r="LP74">
        <v>236</v>
      </c>
      <c r="LQ74">
        <v>11815</v>
      </c>
      <c r="LR74">
        <v>2789</v>
      </c>
      <c r="LS74">
        <v>12844</v>
      </c>
      <c r="LT74">
        <v>30</v>
      </c>
      <c r="LU74">
        <v>7979</v>
      </c>
      <c r="LV74">
        <v>2464</v>
      </c>
      <c r="LW74" s="44"/>
      <c r="LX74" s="44"/>
      <c r="LY74" s="44"/>
      <c r="LZ74">
        <v>46709</v>
      </c>
      <c r="MA74">
        <v>233159</v>
      </c>
      <c r="MB74">
        <v>218893</v>
      </c>
      <c r="MC74">
        <v>156867</v>
      </c>
      <c r="MD74" s="26">
        <v>21.889595999999997</v>
      </c>
      <c r="ME74" s="26">
        <v>12.217447999999999</v>
      </c>
      <c r="MF74" s="26">
        <v>56.867852999999997</v>
      </c>
      <c r="MG74" s="26">
        <v>29.491904999999999</v>
      </c>
      <c r="MH74" s="26">
        <v>27.234579999999998</v>
      </c>
      <c r="MI74" s="26">
        <v>5.9774349999999998</v>
      </c>
      <c r="MJ74" s="26">
        <v>11.156307999999999</v>
      </c>
      <c r="MK74" s="26">
        <v>20.133164999999998</v>
      </c>
      <c r="ML74" s="26">
        <v>6.5276499999999995</v>
      </c>
      <c r="MM74" s="26">
        <v>84.75668499999999</v>
      </c>
      <c r="MN74" s="26">
        <v>60.521526999999999</v>
      </c>
      <c r="MO74" s="26">
        <v>1.739935</v>
      </c>
      <c r="MP74" t="s">
        <v>1028</v>
      </c>
      <c r="MQ74">
        <v>164</v>
      </c>
      <c r="MR74">
        <v>16</v>
      </c>
    </row>
    <row r="75" spans="1:356">
      <c r="A75" t="s">
        <v>157</v>
      </c>
      <c r="B75" t="s">
        <v>158</v>
      </c>
      <c r="C75">
        <v>9271</v>
      </c>
      <c r="D75">
        <v>11878</v>
      </c>
      <c r="E75">
        <v>14088</v>
      </c>
      <c r="F75">
        <f t="shared" si="4"/>
        <v>2210</v>
      </c>
      <c r="G75" s="26">
        <f t="shared" si="5"/>
        <v>18.605825896615585</v>
      </c>
      <c r="H75">
        <v>6879</v>
      </c>
      <c r="I75">
        <v>7209</v>
      </c>
      <c r="J75">
        <v>5330</v>
      </c>
      <c r="K75">
        <v>8758</v>
      </c>
      <c r="L75">
        <v>1014</v>
      </c>
      <c r="M75">
        <v>969</v>
      </c>
      <c r="N75">
        <v>1028</v>
      </c>
      <c r="O75">
        <v>829</v>
      </c>
      <c r="P75">
        <v>527</v>
      </c>
      <c r="Q75">
        <v>378</v>
      </c>
      <c r="R75">
        <v>358</v>
      </c>
      <c r="S75">
        <v>350</v>
      </c>
      <c r="T75">
        <v>281</v>
      </c>
      <c r="U75">
        <v>245</v>
      </c>
      <c r="V75">
        <v>188</v>
      </c>
      <c r="W75">
        <v>178</v>
      </c>
      <c r="X75">
        <v>149</v>
      </c>
      <c r="Y75">
        <v>385</v>
      </c>
      <c r="Z75">
        <v>0</v>
      </c>
      <c r="AA75">
        <v>1055</v>
      </c>
      <c r="AB75">
        <v>983</v>
      </c>
      <c r="AC75">
        <v>957</v>
      </c>
      <c r="AD75">
        <v>795</v>
      </c>
      <c r="AE75">
        <v>568</v>
      </c>
      <c r="AF75">
        <v>483</v>
      </c>
      <c r="AG75">
        <v>399</v>
      </c>
      <c r="AH75">
        <v>419</v>
      </c>
      <c r="AI75">
        <v>341</v>
      </c>
      <c r="AJ75">
        <v>276</v>
      </c>
      <c r="AK75">
        <v>199</v>
      </c>
      <c r="AL75">
        <v>179</v>
      </c>
      <c r="AM75">
        <v>171</v>
      </c>
      <c r="AN75">
        <v>384</v>
      </c>
      <c r="AO75">
        <v>0</v>
      </c>
      <c r="AP75">
        <v>14032</v>
      </c>
      <c r="AQ75">
        <v>45</v>
      </c>
      <c r="AR75">
        <v>8</v>
      </c>
      <c r="AS75">
        <v>2</v>
      </c>
      <c r="AT75">
        <v>1</v>
      </c>
      <c r="AU75">
        <v>12385</v>
      </c>
      <c r="AV75">
        <v>6055</v>
      </c>
      <c r="AW75">
        <v>6330</v>
      </c>
      <c r="AX75">
        <v>7427</v>
      </c>
      <c r="AY75">
        <v>10582</v>
      </c>
      <c r="AZ75">
        <v>6399</v>
      </c>
      <c r="BA75">
        <v>4183</v>
      </c>
      <c r="BB75">
        <v>367</v>
      </c>
      <c r="BC75">
        <v>377</v>
      </c>
      <c r="BD75">
        <v>914</v>
      </c>
      <c r="BE75">
        <v>921</v>
      </c>
      <c r="BF75">
        <v>995</v>
      </c>
      <c r="BG75">
        <v>921</v>
      </c>
      <c r="BH75">
        <v>804</v>
      </c>
      <c r="BI75">
        <v>775</v>
      </c>
      <c r="BJ75">
        <v>512</v>
      </c>
      <c r="BK75">
        <v>548</v>
      </c>
      <c r="BL75">
        <v>366</v>
      </c>
      <c r="BM75">
        <v>471</v>
      </c>
      <c r="BN75">
        <v>344</v>
      </c>
      <c r="BO75">
        <v>385</v>
      </c>
      <c r="BP75">
        <v>342</v>
      </c>
      <c r="BQ75">
        <v>408</v>
      </c>
      <c r="BR75">
        <v>278</v>
      </c>
      <c r="BS75">
        <v>336</v>
      </c>
      <c r="BT75">
        <v>240</v>
      </c>
      <c r="BU75">
        <v>274</v>
      </c>
      <c r="BV75">
        <v>186</v>
      </c>
      <c r="BW75">
        <v>192</v>
      </c>
      <c r="BX75">
        <v>177</v>
      </c>
      <c r="BY75">
        <v>178</v>
      </c>
      <c r="BZ75">
        <v>148</v>
      </c>
      <c r="CA75">
        <v>168</v>
      </c>
      <c r="CB75">
        <v>382</v>
      </c>
      <c r="CC75">
        <v>376</v>
      </c>
      <c r="CD75">
        <v>5029</v>
      </c>
      <c r="CE75">
        <v>4685</v>
      </c>
      <c r="CF75">
        <v>979</v>
      </c>
      <c r="CG75">
        <v>1605</v>
      </c>
      <c r="CH75">
        <v>2038</v>
      </c>
      <c r="CI75">
        <v>889</v>
      </c>
      <c r="CJ75">
        <v>10188</v>
      </c>
      <c r="CK75">
        <v>3834</v>
      </c>
      <c r="CL75">
        <v>152</v>
      </c>
      <c r="CM75">
        <v>387</v>
      </c>
      <c r="CN75">
        <v>480</v>
      </c>
      <c r="CO75">
        <v>487</v>
      </c>
      <c r="CP75">
        <v>409</v>
      </c>
      <c r="CQ75">
        <v>1012</v>
      </c>
      <c r="CR75">
        <v>2218</v>
      </c>
      <c r="CS75">
        <v>7468</v>
      </c>
      <c r="CT75">
        <v>814</v>
      </c>
      <c r="CU75">
        <v>286</v>
      </c>
      <c r="CV75">
        <v>107</v>
      </c>
      <c r="CW75">
        <v>199</v>
      </c>
      <c r="CX75">
        <v>3</v>
      </c>
      <c r="CY75">
        <v>2119</v>
      </c>
      <c r="CZ75">
        <v>653</v>
      </c>
      <c r="DA75">
        <v>1</v>
      </c>
      <c r="DB75">
        <v>152</v>
      </c>
      <c r="DC75">
        <v>2</v>
      </c>
      <c r="DD75">
        <v>735</v>
      </c>
      <c r="DE75">
        <v>2488</v>
      </c>
      <c r="DF75">
        <v>2101</v>
      </c>
      <c r="DG75">
        <v>3434</v>
      </c>
      <c r="DH75">
        <v>0</v>
      </c>
      <c r="DI75">
        <v>5330</v>
      </c>
      <c r="DJ75">
        <v>0</v>
      </c>
      <c r="DK75">
        <v>0</v>
      </c>
      <c r="DL75">
        <v>0</v>
      </c>
      <c r="DM75">
        <v>12</v>
      </c>
      <c r="DN75">
        <v>17</v>
      </c>
      <c r="DO75">
        <v>6</v>
      </c>
      <c r="DP75">
        <v>4</v>
      </c>
      <c r="DQ75">
        <v>0</v>
      </c>
      <c r="DR75">
        <v>1</v>
      </c>
      <c r="DS75">
        <v>0</v>
      </c>
      <c r="DT75">
        <v>0</v>
      </c>
      <c r="DU75">
        <v>0</v>
      </c>
      <c r="DV75">
        <v>187</v>
      </c>
      <c r="DW75">
        <v>192</v>
      </c>
      <c r="DX75">
        <v>224</v>
      </c>
      <c r="DY75">
        <v>245</v>
      </c>
      <c r="DZ75">
        <v>144</v>
      </c>
      <c r="EA75">
        <v>159</v>
      </c>
      <c r="EB75">
        <v>82</v>
      </c>
      <c r="EC75">
        <v>89</v>
      </c>
      <c r="ED75">
        <v>71</v>
      </c>
      <c r="EE75">
        <v>84</v>
      </c>
      <c r="EF75">
        <v>127</v>
      </c>
      <c r="EG75">
        <v>133</v>
      </c>
      <c r="EH75">
        <v>50</v>
      </c>
      <c r="EI75">
        <v>33</v>
      </c>
      <c r="EJ75">
        <v>316</v>
      </c>
      <c r="EK75">
        <v>395</v>
      </c>
      <c r="EL75">
        <v>243</v>
      </c>
      <c r="EM75">
        <v>118</v>
      </c>
      <c r="EN75">
        <v>111</v>
      </c>
      <c r="EO75">
        <v>198</v>
      </c>
      <c r="EP75">
        <v>70</v>
      </c>
      <c r="EQ75">
        <v>3235</v>
      </c>
      <c r="ER75">
        <v>3177</v>
      </c>
      <c r="ES75">
        <v>58</v>
      </c>
      <c r="ET75">
        <v>1245</v>
      </c>
      <c r="EU75">
        <v>663</v>
      </c>
      <c r="EV75">
        <v>654</v>
      </c>
      <c r="EW75">
        <v>9</v>
      </c>
      <c r="EX75">
        <v>4117</v>
      </c>
      <c r="EY75" s="26">
        <v>64.844363000000001</v>
      </c>
      <c r="EZ75" s="26">
        <v>16.609992999999999</v>
      </c>
      <c r="FA75" s="26">
        <v>5.623856</v>
      </c>
      <c r="FB75" s="26">
        <v>12.686372</v>
      </c>
      <c r="FC75" s="26">
        <v>0.23541699999999999</v>
      </c>
      <c r="FD75">
        <v>910</v>
      </c>
      <c r="FE75">
        <v>1392</v>
      </c>
      <c r="FF75">
        <v>260</v>
      </c>
      <c r="FG75">
        <v>559</v>
      </c>
      <c r="FH75">
        <v>1</v>
      </c>
      <c r="FI75">
        <v>573</v>
      </c>
      <c r="FJ75">
        <v>203</v>
      </c>
      <c r="FK75" s="26" t="s">
        <v>359</v>
      </c>
      <c r="FL75" s="26" t="s">
        <v>359</v>
      </c>
      <c r="FM75" s="26" t="s">
        <v>359</v>
      </c>
      <c r="FN75" s="26" t="s">
        <v>359</v>
      </c>
      <c r="FO75" s="28">
        <v>5427</v>
      </c>
      <c r="FP75" s="28">
        <v>1451</v>
      </c>
      <c r="FQ75">
        <v>377</v>
      </c>
      <c r="FR75">
        <v>117</v>
      </c>
      <c r="FS75">
        <v>2</v>
      </c>
      <c r="FT75">
        <v>4</v>
      </c>
      <c r="FU75">
        <v>4911</v>
      </c>
      <c r="FV75">
        <v>52</v>
      </c>
      <c r="FW75">
        <v>31</v>
      </c>
      <c r="FX75">
        <v>1</v>
      </c>
      <c r="FY75">
        <v>5877</v>
      </c>
      <c r="FZ75">
        <v>1332</v>
      </c>
      <c r="GA75">
        <v>117</v>
      </c>
      <c r="GB75">
        <v>93</v>
      </c>
      <c r="GC75">
        <v>2</v>
      </c>
      <c r="GD75">
        <v>1</v>
      </c>
      <c r="GE75">
        <v>5586</v>
      </c>
      <c r="GF75">
        <v>43</v>
      </c>
      <c r="GG75">
        <v>36</v>
      </c>
      <c r="GH75">
        <v>0</v>
      </c>
      <c r="GI75">
        <v>580</v>
      </c>
      <c r="GJ75">
        <v>804</v>
      </c>
      <c r="GK75">
        <v>890</v>
      </c>
      <c r="GL75">
        <v>683</v>
      </c>
      <c r="GM75">
        <v>413</v>
      </c>
      <c r="GN75">
        <v>296</v>
      </c>
      <c r="GO75">
        <v>291</v>
      </c>
      <c r="GP75">
        <v>296</v>
      </c>
      <c r="GQ75">
        <v>239</v>
      </c>
      <c r="GR75">
        <v>204</v>
      </c>
      <c r="GS75">
        <v>147</v>
      </c>
      <c r="GT75">
        <v>147</v>
      </c>
      <c r="GU75">
        <v>113</v>
      </c>
      <c r="GV75">
        <v>106</v>
      </c>
      <c r="GW75">
        <v>71</v>
      </c>
      <c r="GX75">
        <v>72</v>
      </c>
      <c r="GY75">
        <v>57</v>
      </c>
      <c r="GZ75">
        <v>18</v>
      </c>
      <c r="HA75">
        <v>616</v>
      </c>
      <c r="HB75">
        <v>806</v>
      </c>
      <c r="HC75">
        <v>791</v>
      </c>
      <c r="HD75">
        <v>610</v>
      </c>
      <c r="HE75">
        <v>463</v>
      </c>
      <c r="HF75">
        <v>426</v>
      </c>
      <c r="HG75">
        <v>358</v>
      </c>
      <c r="HH75">
        <v>380</v>
      </c>
      <c r="HI75">
        <v>319</v>
      </c>
      <c r="HJ75">
        <v>258</v>
      </c>
      <c r="HK75">
        <v>174</v>
      </c>
      <c r="HL75">
        <v>162</v>
      </c>
      <c r="HM75">
        <v>154</v>
      </c>
      <c r="HN75">
        <v>134</v>
      </c>
      <c r="HO75">
        <v>80</v>
      </c>
      <c r="HP75">
        <v>81</v>
      </c>
      <c r="HQ75">
        <v>42</v>
      </c>
      <c r="HR75">
        <v>23</v>
      </c>
      <c r="HS75">
        <v>2727</v>
      </c>
      <c r="HT75">
        <v>0</v>
      </c>
      <c r="HU75">
        <v>1</v>
      </c>
      <c r="HV75">
        <v>0</v>
      </c>
      <c r="HW75">
        <v>8</v>
      </c>
      <c r="HX75">
        <v>0</v>
      </c>
      <c r="HY75">
        <v>0</v>
      </c>
      <c r="HZ75">
        <v>1</v>
      </c>
      <c r="IA75">
        <v>151</v>
      </c>
      <c r="IB75">
        <v>386</v>
      </c>
      <c r="IC75">
        <v>478</v>
      </c>
      <c r="ID75">
        <v>486</v>
      </c>
      <c r="IE75">
        <v>408</v>
      </c>
      <c r="IF75">
        <v>333</v>
      </c>
      <c r="IG75">
        <v>262</v>
      </c>
      <c r="IH75">
        <v>178</v>
      </c>
      <c r="II75">
        <v>237</v>
      </c>
      <c r="IJ75">
        <v>402</v>
      </c>
      <c r="IK75">
        <v>1104</v>
      </c>
      <c r="IL75">
        <v>750</v>
      </c>
      <c r="IM75">
        <v>427</v>
      </c>
      <c r="IN75">
        <v>159</v>
      </c>
      <c r="IO75">
        <v>43</v>
      </c>
      <c r="IP75">
        <v>23</v>
      </c>
      <c r="IQ75">
        <v>7</v>
      </c>
      <c r="IR75">
        <v>4</v>
      </c>
      <c r="IS75">
        <v>1722</v>
      </c>
      <c r="IT75">
        <v>838</v>
      </c>
      <c r="IU75">
        <v>231</v>
      </c>
      <c r="IV75">
        <v>90</v>
      </c>
      <c r="IW75">
        <v>38</v>
      </c>
      <c r="IX75">
        <v>982</v>
      </c>
      <c r="IY75">
        <v>1619</v>
      </c>
      <c r="IZ75">
        <v>7</v>
      </c>
      <c r="JA75">
        <v>53</v>
      </c>
      <c r="JB75">
        <v>0</v>
      </c>
      <c r="JC75">
        <v>17</v>
      </c>
      <c r="JD75">
        <v>2586</v>
      </c>
      <c r="JE75">
        <v>333</v>
      </c>
      <c r="JF75">
        <v>0</v>
      </c>
      <c r="JH75" s="28">
        <v>2020.1382289017624</v>
      </c>
      <c r="JI75" s="28">
        <v>260.12264079739623</v>
      </c>
      <c r="JJ75">
        <v>617</v>
      </c>
      <c r="JK75">
        <v>2210</v>
      </c>
      <c r="JL75">
        <v>92</v>
      </c>
      <c r="JM75">
        <v>0</v>
      </c>
      <c r="JN75">
        <v>839</v>
      </c>
      <c r="JO75">
        <v>209</v>
      </c>
      <c r="JP75">
        <v>118</v>
      </c>
      <c r="JQ75">
        <v>831</v>
      </c>
      <c r="JR75">
        <v>1786</v>
      </c>
      <c r="JS75">
        <v>136</v>
      </c>
      <c r="JT75">
        <v>160</v>
      </c>
      <c r="JU75">
        <v>867</v>
      </c>
      <c r="JV75">
        <v>194</v>
      </c>
      <c r="JW75" s="28"/>
      <c r="JX75" s="28"/>
      <c r="JY75" s="28"/>
      <c r="JZ75" s="28"/>
      <c r="KA75" s="28">
        <v>2889.0000066900002</v>
      </c>
      <c r="KB75">
        <v>13122</v>
      </c>
      <c r="KC75">
        <v>0</v>
      </c>
      <c r="KD75">
        <v>3</v>
      </c>
      <c r="KE75">
        <v>0</v>
      </c>
      <c r="KF75">
        <v>30</v>
      </c>
      <c r="KG75">
        <v>0</v>
      </c>
      <c r="KH75">
        <v>0</v>
      </c>
      <c r="KI75">
        <v>2</v>
      </c>
      <c r="KJ75">
        <v>3048</v>
      </c>
      <c r="KK75">
        <v>10586</v>
      </c>
      <c r="KL75">
        <v>358</v>
      </c>
      <c r="KM75">
        <v>0</v>
      </c>
      <c r="KT75">
        <v>2318</v>
      </c>
      <c r="KU75">
        <v>2386</v>
      </c>
      <c r="KV75">
        <v>2076</v>
      </c>
      <c r="KW75">
        <v>140</v>
      </c>
      <c r="KX75">
        <v>17</v>
      </c>
      <c r="KZ75">
        <v>2072</v>
      </c>
      <c r="LA75">
        <v>212</v>
      </c>
      <c r="LB75">
        <v>24</v>
      </c>
      <c r="LD75">
        <v>1353</v>
      </c>
      <c r="LE75">
        <v>1286</v>
      </c>
      <c r="LF75">
        <v>867</v>
      </c>
      <c r="LG75">
        <v>1393</v>
      </c>
      <c r="LH75">
        <v>8082</v>
      </c>
      <c r="LI75">
        <v>15</v>
      </c>
      <c r="LJ75">
        <v>521</v>
      </c>
      <c r="LK75">
        <v>306</v>
      </c>
      <c r="LL75">
        <v>610</v>
      </c>
      <c r="LM75">
        <v>0</v>
      </c>
      <c r="LN75">
        <v>442</v>
      </c>
      <c r="LO75">
        <v>71</v>
      </c>
      <c r="LP75">
        <v>15</v>
      </c>
      <c r="LQ75">
        <v>552</v>
      </c>
      <c r="LR75">
        <v>232</v>
      </c>
      <c r="LS75">
        <v>620</v>
      </c>
      <c r="LT75">
        <v>1</v>
      </c>
      <c r="LU75">
        <v>467</v>
      </c>
      <c r="LV75">
        <v>51</v>
      </c>
      <c r="LW75" s="44"/>
      <c r="LX75" s="44"/>
      <c r="LY75" s="44"/>
      <c r="LZ75">
        <v>2919</v>
      </c>
      <c r="MA75">
        <v>13992</v>
      </c>
      <c r="MB75">
        <v>12508</v>
      </c>
      <c r="MC75">
        <v>11093</v>
      </c>
      <c r="MD75" s="26">
        <v>27.963374999999999</v>
      </c>
      <c r="ME75" s="26">
        <v>12.35543</v>
      </c>
      <c r="MF75" s="26">
        <v>64.860182999999992</v>
      </c>
      <c r="MG75" s="26">
        <v>19.754400999999998</v>
      </c>
      <c r="MH75" s="26">
        <v>21.137376</v>
      </c>
      <c r="MI75" s="26">
        <v>5.4470709999999993</v>
      </c>
      <c r="MJ75" s="26">
        <v>4.8989379999999993</v>
      </c>
      <c r="MK75" s="26">
        <v>11.408016</v>
      </c>
      <c r="ML75" s="26">
        <v>1.027749</v>
      </c>
      <c r="MM75" s="26">
        <v>92.840013999999996</v>
      </c>
      <c r="MN75" s="26">
        <v>71.257279999999994</v>
      </c>
      <c r="MO75" s="26">
        <v>1.6453979999999999</v>
      </c>
      <c r="MP75" t="s">
        <v>1028</v>
      </c>
      <c r="MQ75">
        <v>189</v>
      </c>
      <c r="MR75">
        <v>23</v>
      </c>
    </row>
    <row r="76" spans="1:356">
      <c r="A76" t="s">
        <v>159</v>
      </c>
      <c r="B76" t="s">
        <v>160</v>
      </c>
      <c r="C76">
        <v>65673</v>
      </c>
      <c r="D76">
        <v>82059</v>
      </c>
      <c r="E76">
        <v>97397</v>
      </c>
      <c r="F76">
        <f t="shared" si="4"/>
        <v>15338</v>
      </c>
      <c r="G76" s="26">
        <f t="shared" si="5"/>
        <v>18.691429337427962</v>
      </c>
      <c r="H76">
        <v>48070</v>
      </c>
      <c r="I76">
        <v>49327</v>
      </c>
      <c r="J76">
        <v>47951</v>
      </c>
      <c r="K76">
        <v>49446</v>
      </c>
      <c r="L76">
        <v>4926</v>
      </c>
      <c r="M76">
        <v>5624</v>
      </c>
      <c r="N76">
        <v>5249</v>
      </c>
      <c r="O76">
        <v>4847</v>
      </c>
      <c r="P76">
        <v>4084</v>
      </c>
      <c r="Q76">
        <v>3683</v>
      </c>
      <c r="R76">
        <v>3438</v>
      </c>
      <c r="S76">
        <v>3179</v>
      </c>
      <c r="T76">
        <v>2770</v>
      </c>
      <c r="U76">
        <v>2323</v>
      </c>
      <c r="V76">
        <v>2028</v>
      </c>
      <c r="W76">
        <v>1650</v>
      </c>
      <c r="X76">
        <v>1265</v>
      </c>
      <c r="Y76">
        <v>2998</v>
      </c>
      <c r="Z76">
        <v>6</v>
      </c>
      <c r="AA76">
        <v>4958</v>
      </c>
      <c r="AB76">
        <v>5278</v>
      </c>
      <c r="AC76">
        <v>5212</v>
      </c>
      <c r="AD76">
        <v>4718</v>
      </c>
      <c r="AE76">
        <v>4277</v>
      </c>
      <c r="AF76">
        <v>4109</v>
      </c>
      <c r="AG76">
        <v>3803</v>
      </c>
      <c r="AH76">
        <v>3518</v>
      </c>
      <c r="AI76">
        <v>3050</v>
      </c>
      <c r="AJ76">
        <v>2507</v>
      </c>
      <c r="AK76">
        <v>2136</v>
      </c>
      <c r="AL76">
        <v>1599</v>
      </c>
      <c r="AM76">
        <v>1286</v>
      </c>
      <c r="AN76">
        <v>2868</v>
      </c>
      <c r="AO76">
        <v>8</v>
      </c>
      <c r="AP76">
        <v>95680</v>
      </c>
      <c r="AQ76">
        <v>1569</v>
      </c>
      <c r="AR76">
        <v>21</v>
      </c>
      <c r="AS76">
        <v>90</v>
      </c>
      <c r="AT76">
        <v>37</v>
      </c>
      <c r="AU76">
        <v>15084</v>
      </c>
      <c r="AV76">
        <v>7595</v>
      </c>
      <c r="AW76">
        <v>7489</v>
      </c>
      <c r="AX76">
        <v>9552</v>
      </c>
      <c r="AY76">
        <v>13260</v>
      </c>
      <c r="AZ76">
        <v>12296</v>
      </c>
      <c r="BA76">
        <v>964</v>
      </c>
      <c r="BB76">
        <v>321</v>
      </c>
      <c r="BC76">
        <v>337</v>
      </c>
      <c r="BD76">
        <v>1019</v>
      </c>
      <c r="BE76">
        <v>922</v>
      </c>
      <c r="BF76">
        <v>1031</v>
      </c>
      <c r="BG76">
        <v>997</v>
      </c>
      <c r="BH76">
        <v>892</v>
      </c>
      <c r="BI76">
        <v>874</v>
      </c>
      <c r="BJ76">
        <v>705</v>
      </c>
      <c r="BK76">
        <v>781</v>
      </c>
      <c r="BL76">
        <v>569</v>
      </c>
      <c r="BM76">
        <v>632</v>
      </c>
      <c r="BN76">
        <v>539</v>
      </c>
      <c r="BO76">
        <v>564</v>
      </c>
      <c r="BP76">
        <v>515</v>
      </c>
      <c r="BQ76">
        <v>538</v>
      </c>
      <c r="BR76">
        <v>454</v>
      </c>
      <c r="BS76">
        <v>445</v>
      </c>
      <c r="BT76">
        <v>380</v>
      </c>
      <c r="BU76">
        <v>391</v>
      </c>
      <c r="BV76">
        <v>296</v>
      </c>
      <c r="BW76">
        <v>257</v>
      </c>
      <c r="BX76">
        <v>258</v>
      </c>
      <c r="BY76">
        <v>219</v>
      </c>
      <c r="BZ76">
        <v>193</v>
      </c>
      <c r="CA76">
        <v>177</v>
      </c>
      <c r="CB76">
        <v>423</v>
      </c>
      <c r="CC76">
        <v>355</v>
      </c>
      <c r="CD76">
        <v>7289</v>
      </c>
      <c r="CE76">
        <v>6989</v>
      </c>
      <c r="CF76">
        <v>292</v>
      </c>
      <c r="CG76">
        <v>477</v>
      </c>
      <c r="CH76">
        <v>18891</v>
      </c>
      <c r="CI76">
        <v>5011</v>
      </c>
      <c r="CJ76">
        <v>79778</v>
      </c>
      <c r="CK76">
        <v>17225</v>
      </c>
      <c r="CL76">
        <v>1806</v>
      </c>
      <c r="CM76">
        <v>3660</v>
      </c>
      <c r="CN76">
        <v>4600</v>
      </c>
      <c r="CO76">
        <v>5331</v>
      </c>
      <c r="CP76">
        <v>3828</v>
      </c>
      <c r="CQ76">
        <v>4677</v>
      </c>
      <c r="CR76">
        <v>18150</v>
      </c>
      <c r="CS76">
        <v>43090</v>
      </c>
      <c r="CT76">
        <v>6352</v>
      </c>
      <c r="CU76">
        <v>2321</v>
      </c>
      <c r="CV76">
        <v>903</v>
      </c>
      <c r="CW76">
        <v>2039</v>
      </c>
      <c r="CX76">
        <v>232</v>
      </c>
      <c r="CY76">
        <v>16638</v>
      </c>
      <c r="CZ76">
        <v>5299</v>
      </c>
      <c r="DA76">
        <v>118</v>
      </c>
      <c r="DB76">
        <v>1806</v>
      </c>
      <c r="DC76">
        <v>36</v>
      </c>
      <c r="DD76">
        <v>8238</v>
      </c>
      <c r="DE76">
        <v>6127</v>
      </c>
      <c r="DF76">
        <v>9315</v>
      </c>
      <c r="DG76">
        <v>25766</v>
      </c>
      <c r="DH76">
        <v>4704</v>
      </c>
      <c r="DI76">
        <v>0</v>
      </c>
      <c r="DJ76">
        <v>43247</v>
      </c>
      <c r="DK76">
        <v>0</v>
      </c>
      <c r="DL76">
        <v>0</v>
      </c>
      <c r="DM76">
        <v>662</v>
      </c>
      <c r="DN76">
        <v>39</v>
      </c>
      <c r="DO76">
        <v>27</v>
      </c>
      <c r="DP76">
        <v>24</v>
      </c>
      <c r="DQ76">
        <v>1</v>
      </c>
      <c r="DR76">
        <v>0</v>
      </c>
      <c r="DS76">
        <v>1</v>
      </c>
      <c r="DT76">
        <v>0</v>
      </c>
      <c r="DU76">
        <v>0</v>
      </c>
      <c r="DV76">
        <v>2210</v>
      </c>
      <c r="DW76">
        <v>2309</v>
      </c>
      <c r="DX76">
        <v>3237</v>
      </c>
      <c r="DY76">
        <v>3529</v>
      </c>
      <c r="DZ76">
        <v>1518</v>
      </c>
      <c r="EA76">
        <v>1189</v>
      </c>
      <c r="EB76">
        <v>809</v>
      </c>
      <c r="EC76">
        <v>686</v>
      </c>
      <c r="ED76">
        <v>570</v>
      </c>
      <c r="EE76">
        <v>596</v>
      </c>
      <c r="EF76">
        <v>1104</v>
      </c>
      <c r="EG76">
        <v>1227</v>
      </c>
      <c r="EH76">
        <v>543</v>
      </c>
      <c r="EI76">
        <v>449</v>
      </c>
      <c r="EJ76">
        <v>2548</v>
      </c>
      <c r="EK76">
        <v>3961</v>
      </c>
      <c r="EL76">
        <v>1552</v>
      </c>
      <c r="EM76">
        <v>866</v>
      </c>
      <c r="EN76">
        <v>666</v>
      </c>
      <c r="EO76">
        <v>1415</v>
      </c>
      <c r="EP76">
        <v>578</v>
      </c>
      <c r="EQ76">
        <v>29370</v>
      </c>
      <c r="ER76">
        <v>28935</v>
      </c>
      <c r="ES76">
        <v>435</v>
      </c>
      <c r="ET76">
        <v>5831</v>
      </c>
      <c r="EU76">
        <v>16419</v>
      </c>
      <c r="EV76">
        <v>16310</v>
      </c>
      <c r="EW76">
        <v>109</v>
      </c>
      <c r="EX76">
        <v>20397</v>
      </c>
      <c r="EY76" s="26">
        <v>32.167698999999999</v>
      </c>
      <c r="EZ76" s="26">
        <v>20.632279</v>
      </c>
      <c r="FA76" s="26">
        <v>15.607867000000001</v>
      </c>
      <c r="FB76" s="26">
        <v>30.858405000000001</v>
      </c>
      <c r="FC76" s="26">
        <v>0.73375000000000001</v>
      </c>
      <c r="FD76">
        <v>4359</v>
      </c>
      <c r="FE76">
        <v>17190</v>
      </c>
      <c r="FF76">
        <v>2007</v>
      </c>
      <c r="FG76">
        <v>9084</v>
      </c>
      <c r="FH76">
        <v>59</v>
      </c>
      <c r="FI76">
        <v>7139</v>
      </c>
      <c r="FJ76">
        <v>5918</v>
      </c>
      <c r="FK76" s="26" t="s">
        <v>359</v>
      </c>
      <c r="FL76" s="26" t="s">
        <v>359</v>
      </c>
      <c r="FM76" s="26" t="s">
        <v>359</v>
      </c>
      <c r="FN76" s="26" t="s">
        <v>359</v>
      </c>
      <c r="FO76" s="28">
        <v>26979</v>
      </c>
      <c r="FP76" s="28">
        <v>21075</v>
      </c>
      <c r="FQ76">
        <v>8468</v>
      </c>
      <c r="FR76">
        <v>1144</v>
      </c>
      <c r="FS76">
        <v>277</v>
      </c>
      <c r="FT76">
        <v>82</v>
      </c>
      <c r="FU76">
        <v>16300</v>
      </c>
      <c r="FV76">
        <v>160</v>
      </c>
      <c r="FW76">
        <v>209</v>
      </c>
      <c r="FX76">
        <v>16</v>
      </c>
      <c r="FY76">
        <v>28801</v>
      </c>
      <c r="FZ76">
        <v>20510</v>
      </c>
      <c r="GA76">
        <v>8423</v>
      </c>
      <c r="GB76">
        <v>1276</v>
      </c>
      <c r="GC76">
        <v>350</v>
      </c>
      <c r="GD76">
        <v>86</v>
      </c>
      <c r="GE76">
        <v>17938</v>
      </c>
      <c r="GF76">
        <v>122</v>
      </c>
      <c r="GG76">
        <v>217</v>
      </c>
      <c r="GH76">
        <v>16</v>
      </c>
      <c r="GI76">
        <v>2509</v>
      </c>
      <c r="GJ76">
        <v>3424</v>
      </c>
      <c r="GK76">
        <v>3307</v>
      </c>
      <c r="GL76">
        <v>2897</v>
      </c>
      <c r="GM76">
        <v>2099</v>
      </c>
      <c r="GN76">
        <v>1905</v>
      </c>
      <c r="GO76">
        <v>1874</v>
      </c>
      <c r="GP76">
        <v>1820</v>
      </c>
      <c r="GQ76">
        <v>1557</v>
      </c>
      <c r="GR76">
        <v>1322</v>
      </c>
      <c r="GS76">
        <v>1082</v>
      </c>
      <c r="GT76">
        <v>897</v>
      </c>
      <c r="GU76">
        <v>673</v>
      </c>
      <c r="GV76">
        <v>548</v>
      </c>
      <c r="GW76">
        <v>403</v>
      </c>
      <c r="GX76">
        <v>290</v>
      </c>
      <c r="GY76">
        <v>194</v>
      </c>
      <c r="GZ76">
        <v>178</v>
      </c>
      <c r="HA76">
        <v>2445</v>
      </c>
      <c r="HB76">
        <v>3193</v>
      </c>
      <c r="HC76">
        <v>3306</v>
      </c>
      <c r="HD76">
        <v>2716</v>
      </c>
      <c r="HE76">
        <v>2356</v>
      </c>
      <c r="HF76">
        <v>2408</v>
      </c>
      <c r="HG76">
        <v>2340</v>
      </c>
      <c r="HH76">
        <v>2158</v>
      </c>
      <c r="HI76">
        <v>1847</v>
      </c>
      <c r="HJ76">
        <v>1471</v>
      </c>
      <c r="HK76">
        <v>1267</v>
      </c>
      <c r="HL76">
        <v>933</v>
      </c>
      <c r="HM76">
        <v>730</v>
      </c>
      <c r="HN76">
        <v>581</v>
      </c>
      <c r="HO76">
        <v>379</v>
      </c>
      <c r="HP76">
        <v>307</v>
      </c>
      <c r="HQ76">
        <v>192</v>
      </c>
      <c r="HR76">
        <v>171</v>
      </c>
      <c r="HS76">
        <v>19797</v>
      </c>
      <c r="HT76">
        <v>59</v>
      </c>
      <c r="HU76">
        <v>92</v>
      </c>
      <c r="HV76">
        <v>0</v>
      </c>
      <c r="HW76">
        <v>31</v>
      </c>
      <c r="HX76">
        <v>0</v>
      </c>
      <c r="HY76">
        <v>2</v>
      </c>
      <c r="HZ76">
        <v>6</v>
      </c>
      <c r="IA76">
        <v>1796</v>
      </c>
      <c r="IB76">
        <v>3656</v>
      </c>
      <c r="IC76">
        <v>4594</v>
      </c>
      <c r="ID76">
        <v>5325</v>
      </c>
      <c r="IE76">
        <v>3823</v>
      </c>
      <c r="IF76">
        <v>2146</v>
      </c>
      <c r="IG76">
        <v>1172</v>
      </c>
      <c r="IH76">
        <v>590</v>
      </c>
      <c r="II76">
        <v>767</v>
      </c>
      <c r="IJ76">
        <v>3612</v>
      </c>
      <c r="IK76">
        <v>5667</v>
      </c>
      <c r="IL76">
        <v>6897</v>
      </c>
      <c r="IM76">
        <v>4430</v>
      </c>
      <c r="IN76">
        <v>2085</v>
      </c>
      <c r="IO76">
        <v>795</v>
      </c>
      <c r="IP76">
        <v>230</v>
      </c>
      <c r="IQ76">
        <v>98</v>
      </c>
      <c r="IR76">
        <v>52</v>
      </c>
      <c r="IS76">
        <v>11076</v>
      </c>
      <c r="IT76">
        <v>8667</v>
      </c>
      <c r="IU76">
        <v>3162</v>
      </c>
      <c r="IV76">
        <v>785</v>
      </c>
      <c r="IW76">
        <v>176</v>
      </c>
      <c r="IX76">
        <v>10121</v>
      </c>
      <c r="IY76">
        <v>7573</v>
      </c>
      <c r="IZ76">
        <v>25</v>
      </c>
      <c r="JA76">
        <v>163</v>
      </c>
      <c r="JB76">
        <v>711</v>
      </c>
      <c r="JC76">
        <v>397</v>
      </c>
      <c r="JD76">
        <v>22479</v>
      </c>
      <c r="JE76">
        <v>1387</v>
      </c>
      <c r="JF76">
        <v>3</v>
      </c>
      <c r="JH76" s="28">
        <v>17264.112734156573</v>
      </c>
      <c r="JI76" s="28">
        <v>839.47551068836992</v>
      </c>
      <c r="JJ76">
        <v>2887</v>
      </c>
      <c r="JK76">
        <v>18733</v>
      </c>
      <c r="JL76">
        <v>2245</v>
      </c>
      <c r="JM76">
        <v>4</v>
      </c>
      <c r="JN76">
        <v>16670</v>
      </c>
      <c r="JO76">
        <v>11907</v>
      </c>
      <c r="JP76">
        <v>4255</v>
      </c>
      <c r="JQ76">
        <v>12124</v>
      </c>
      <c r="JR76">
        <v>19430</v>
      </c>
      <c r="JS76">
        <v>3382</v>
      </c>
      <c r="JT76">
        <v>2215</v>
      </c>
      <c r="JU76">
        <v>16944</v>
      </c>
      <c r="JV76">
        <v>5210</v>
      </c>
      <c r="JW76" s="28"/>
      <c r="JX76" s="28"/>
      <c r="JY76" s="28"/>
      <c r="JZ76" s="28"/>
      <c r="KA76" s="28">
        <v>23330.999900700001</v>
      </c>
      <c r="KB76">
        <v>81134</v>
      </c>
      <c r="KC76">
        <v>217</v>
      </c>
      <c r="KD76">
        <v>331</v>
      </c>
      <c r="KE76">
        <v>0</v>
      </c>
      <c r="KF76">
        <v>93</v>
      </c>
      <c r="KG76">
        <v>0</v>
      </c>
      <c r="KH76">
        <v>5</v>
      </c>
      <c r="KI76">
        <v>28</v>
      </c>
      <c r="KJ76">
        <v>12479</v>
      </c>
      <c r="KK76">
        <v>75922</v>
      </c>
      <c r="KL76">
        <v>8489</v>
      </c>
      <c r="KM76">
        <v>15</v>
      </c>
      <c r="KT76">
        <v>13890</v>
      </c>
      <c r="KU76">
        <v>13465</v>
      </c>
      <c r="KV76">
        <v>11236</v>
      </c>
      <c r="KW76">
        <v>1566</v>
      </c>
      <c r="KX76">
        <v>775</v>
      </c>
      <c r="KZ76">
        <v>10877</v>
      </c>
      <c r="LA76">
        <v>1450</v>
      </c>
      <c r="LB76">
        <v>794</v>
      </c>
      <c r="LD76">
        <v>8123</v>
      </c>
      <c r="LE76">
        <v>8095</v>
      </c>
      <c r="LF76">
        <v>2670</v>
      </c>
      <c r="LG76">
        <v>4147</v>
      </c>
      <c r="LH76">
        <v>66136</v>
      </c>
      <c r="LI76">
        <v>123</v>
      </c>
      <c r="LJ76">
        <v>5994</v>
      </c>
      <c r="LK76">
        <v>1216</v>
      </c>
      <c r="LL76">
        <v>6379</v>
      </c>
      <c r="LM76">
        <v>34</v>
      </c>
      <c r="LN76">
        <v>4029</v>
      </c>
      <c r="LO76">
        <v>2397</v>
      </c>
      <c r="LP76">
        <v>97</v>
      </c>
      <c r="LQ76">
        <v>6559</v>
      </c>
      <c r="LR76">
        <v>1138</v>
      </c>
      <c r="LS76">
        <v>7124</v>
      </c>
      <c r="LT76">
        <v>46</v>
      </c>
      <c r="LU76">
        <v>3670</v>
      </c>
      <c r="LV76">
        <v>2255</v>
      </c>
      <c r="LW76" s="44"/>
      <c r="LX76" s="44"/>
      <c r="LY76" s="44"/>
      <c r="LZ76">
        <v>23869</v>
      </c>
      <c r="MA76">
        <v>96905</v>
      </c>
      <c r="MB76">
        <v>92103</v>
      </c>
      <c r="MC76">
        <v>17765</v>
      </c>
      <c r="MD76" s="26">
        <v>10.307547999999999</v>
      </c>
      <c r="ME76" s="26">
        <v>11.255006</v>
      </c>
      <c r="MF76" s="26">
        <v>51.112857999999996</v>
      </c>
      <c r="MG76" s="26">
        <v>42.696387000000001</v>
      </c>
      <c r="MH76" s="26">
        <v>12.095186</v>
      </c>
      <c r="MI76" s="26">
        <v>2.3084340000000001</v>
      </c>
      <c r="MJ76" s="26">
        <v>7.189241</v>
      </c>
      <c r="MK76" s="26">
        <v>5.8108839999999997</v>
      </c>
      <c r="ML76" s="26">
        <v>2.2539699999999998</v>
      </c>
      <c r="MM76" s="26">
        <v>50.115212</v>
      </c>
      <c r="MN76" s="26">
        <v>30.160458999999999</v>
      </c>
      <c r="MO76" s="26">
        <v>0.170683</v>
      </c>
      <c r="MP76" t="s">
        <v>1029</v>
      </c>
      <c r="MQ76">
        <v>865</v>
      </c>
      <c r="MR76">
        <v>80</v>
      </c>
    </row>
    <row r="77" spans="1:356">
      <c r="A77" t="s">
        <v>161</v>
      </c>
      <c r="B77" t="s">
        <v>162</v>
      </c>
      <c r="C77">
        <v>17026</v>
      </c>
      <c r="D77">
        <v>17067</v>
      </c>
      <c r="E77">
        <v>18469</v>
      </c>
      <c r="F77">
        <f t="shared" si="4"/>
        <v>1402</v>
      </c>
      <c r="G77" s="26">
        <f t="shared" si="5"/>
        <v>8.2146833069666627</v>
      </c>
      <c r="H77">
        <v>9188</v>
      </c>
      <c r="I77">
        <v>9281</v>
      </c>
      <c r="J77">
        <v>3141</v>
      </c>
      <c r="K77">
        <v>15328</v>
      </c>
      <c r="L77">
        <v>1029</v>
      </c>
      <c r="M77">
        <v>1143</v>
      </c>
      <c r="N77">
        <v>976</v>
      </c>
      <c r="O77">
        <v>833</v>
      </c>
      <c r="P77">
        <v>713</v>
      </c>
      <c r="Q77">
        <v>638</v>
      </c>
      <c r="R77">
        <v>630</v>
      </c>
      <c r="S77">
        <v>574</v>
      </c>
      <c r="T77">
        <v>491</v>
      </c>
      <c r="U77">
        <v>429</v>
      </c>
      <c r="V77">
        <v>396</v>
      </c>
      <c r="W77">
        <v>347</v>
      </c>
      <c r="X77">
        <v>289</v>
      </c>
      <c r="Y77">
        <v>700</v>
      </c>
      <c r="Z77">
        <v>0</v>
      </c>
      <c r="AA77">
        <v>1040</v>
      </c>
      <c r="AB77">
        <v>1115</v>
      </c>
      <c r="AC77">
        <v>971</v>
      </c>
      <c r="AD77">
        <v>804</v>
      </c>
      <c r="AE77">
        <v>758</v>
      </c>
      <c r="AF77">
        <v>761</v>
      </c>
      <c r="AG77">
        <v>689</v>
      </c>
      <c r="AH77">
        <v>636</v>
      </c>
      <c r="AI77">
        <v>543</v>
      </c>
      <c r="AJ77">
        <v>447</v>
      </c>
      <c r="AK77">
        <v>414</v>
      </c>
      <c r="AL77">
        <v>317</v>
      </c>
      <c r="AM77">
        <v>227</v>
      </c>
      <c r="AN77">
        <v>559</v>
      </c>
      <c r="AO77">
        <v>0</v>
      </c>
      <c r="AP77">
        <v>16511</v>
      </c>
      <c r="AQ77">
        <v>1929</v>
      </c>
      <c r="AR77">
        <v>22</v>
      </c>
      <c r="AS77">
        <v>2</v>
      </c>
      <c r="AT77">
        <v>5</v>
      </c>
      <c r="AU77">
        <v>682</v>
      </c>
      <c r="AV77">
        <v>386</v>
      </c>
      <c r="AW77">
        <v>296</v>
      </c>
      <c r="AX77">
        <v>819</v>
      </c>
      <c r="AY77">
        <v>616</v>
      </c>
      <c r="AZ77">
        <v>572</v>
      </c>
      <c r="BA77">
        <v>44</v>
      </c>
      <c r="BB77">
        <v>0</v>
      </c>
      <c r="BC77">
        <v>1</v>
      </c>
      <c r="BD77">
        <v>9</v>
      </c>
      <c r="BE77">
        <v>6</v>
      </c>
      <c r="BF77">
        <v>16</v>
      </c>
      <c r="BG77">
        <v>7</v>
      </c>
      <c r="BH77">
        <v>12</v>
      </c>
      <c r="BI77">
        <v>16</v>
      </c>
      <c r="BJ77">
        <v>14</v>
      </c>
      <c r="BK77">
        <v>11</v>
      </c>
      <c r="BL77">
        <v>16</v>
      </c>
      <c r="BM77">
        <v>15</v>
      </c>
      <c r="BN77">
        <v>16</v>
      </c>
      <c r="BO77">
        <v>20</v>
      </c>
      <c r="BP77">
        <v>23</v>
      </c>
      <c r="BQ77">
        <v>17</v>
      </c>
      <c r="BR77">
        <v>33</v>
      </c>
      <c r="BS77">
        <v>26</v>
      </c>
      <c r="BT77">
        <v>27</v>
      </c>
      <c r="BU77">
        <v>17</v>
      </c>
      <c r="BV77">
        <v>31</v>
      </c>
      <c r="BW77">
        <v>36</v>
      </c>
      <c r="BX77">
        <v>37</v>
      </c>
      <c r="BY77">
        <v>21</v>
      </c>
      <c r="BZ77">
        <v>32</v>
      </c>
      <c r="CA77">
        <v>31</v>
      </c>
      <c r="CB77">
        <v>120</v>
      </c>
      <c r="CC77">
        <v>72</v>
      </c>
      <c r="CD77">
        <v>383</v>
      </c>
      <c r="CE77">
        <v>294</v>
      </c>
      <c r="CF77">
        <v>3</v>
      </c>
      <c r="CG77">
        <v>1</v>
      </c>
      <c r="CH77">
        <v>3347</v>
      </c>
      <c r="CI77">
        <v>1140</v>
      </c>
      <c r="CJ77">
        <v>14230</v>
      </c>
      <c r="CK77">
        <v>4239</v>
      </c>
      <c r="CL77">
        <v>374</v>
      </c>
      <c r="CM77">
        <v>638</v>
      </c>
      <c r="CN77">
        <v>825</v>
      </c>
      <c r="CO77">
        <v>984</v>
      </c>
      <c r="CP77">
        <v>693</v>
      </c>
      <c r="CQ77">
        <v>973</v>
      </c>
      <c r="CR77">
        <v>3244</v>
      </c>
      <c r="CS77">
        <v>8108</v>
      </c>
      <c r="CT77">
        <v>1495</v>
      </c>
      <c r="CU77">
        <v>453</v>
      </c>
      <c r="CV77">
        <v>161</v>
      </c>
      <c r="CW77">
        <v>477</v>
      </c>
      <c r="CX77">
        <v>44</v>
      </c>
      <c r="CY77">
        <v>2871</v>
      </c>
      <c r="CZ77">
        <v>1209</v>
      </c>
      <c r="DA77">
        <v>21</v>
      </c>
      <c r="DB77">
        <v>374</v>
      </c>
      <c r="DC77">
        <v>12</v>
      </c>
      <c r="DD77">
        <v>2147</v>
      </c>
      <c r="DE77">
        <v>3439</v>
      </c>
      <c r="DF77">
        <v>2063</v>
      </c>
      <c r="DG77">
        <v>7679</v>
      </c>
      <c r="DH77">
        <v>3141</v>
      </c>
      <c r="DI77">
        <v>0</v>
      </c>
      <c r="DJ77">
        <v>0</v>
      </c>
      <c r="DK77">
        <v>0</v>
      </c>
      <c r="DL77">
        <v>0</v>
      </c>
      <c r="DM77">
        <v>76</v>
      </c>
      <c r="DN77">
        <v>21</v>
      </c>
      <c r="DO77">
        <v>6</v>
      </c>
      <c r="DP77">
        <v>6</v>
      </c>
      <c r="DQ77">
        <v>1</v>
      </c>
      <c r="DR77">
        <v>0</v>
      </c>
      <c r="DS77">
        <v>0</v>
      </c>
      <c r="DT77">
        <v>0</v>
      </c>
      <c r="DU77">
        <v>0</v>
      </c>
      <c r="DV77">
        <v>736</v>
      </c>
      <c r="DW77">
        <v>831</v>
      </c>
      <c r="DX77">
        <v>1042</v>
      </c>
      <c r="DY77">
        <v>1087</v>
      </c>
      <c r="DZ77">
        <v>437</v>
      </c>
      <c r="EA77">
        <v>352</v>
      </c>
      <c r="EB77">
        <v>219</v>
      </c>
      <c r="EC77">
        <v>159</v>
      </c>
      <c r="ED77">
        <v>143</v>
      </c>
      <c r="EE77">
        <v>145</v>
      </c>
      <c r="EF77">
        <v>353</v>
      </c>
      <c r="EG77">
        <v>424</v>
      </c>
      <c r="EH77">
        <v>126</v>
      </c>
      <c r="EI77">
        <v>85</v>
      </c>
      <c r="EJ77">
        <v>1123</v>
      </c>
      <c r="EK77">
        <v>1501</v>
      </c>
      <c r="EL77">
        <v>574</v>
      </c>
      <c r="EM77">
        <v>252</v>
      </c>
      <c r="EN77">
        <v>183</v>
      </c>
      <c r="EO77">
        <v>547</v>
      </c>
      <c r="EP77">
        <v>145</v>
      </c>
      <c r="EQ77">
        <v>5352</v>
      </c>
      <c r="ER77">
        <v>5167</v>
      </c>
      <c r="ES77">
        <v>185</v>
      </c>
      <c r="ET77">
        <v>1235</v>
      </c>
      <c r="EU77">
        <v>2395</v>
      </c>
      <c r="EV77">
        <v>2357</v>
      </c>
      <c r="EW77">
        <v>38</v>
      </c>
      <c r="EX77">
        <v>4323</v>
      </c>
      <c r="EY77" s="26">
        <v>52.011992999999997</v>
      </c>
      <c r="EZ77" s="26">
        <v>11.377623</v>
      </c>
      <c r="FA77" s="26">
        <v>13.334384999999999</v>
      </c>
      <c r="FB77" s="26">
        <v>22.423860000000001</v>
      </c>
      <c r="FC77" s="26">
        <v>0.85213799999999995</v>
      </c>
      <c r="FD77">
        <v>858</v>
      </c>
      <c r="FE77">
        <v>2300</v>
      </c>
      <c r="FF77">
        <v>339</v>
      </c>
      <c r="FG77">
        <v>1887</v>
      </c>
      <c r="FH77">
        <v>0</v>
      </c>
      <c r="FI77">
        <v>1658</v>
      </c>
      <c r="FJ77">
        <v>703</v>
      </c>
      <c r="FK77" s="26" t="s">
        <v>359</v>
      </c>
      <c r="FL77" s="26" t="s">
        <v>359</v>
      </c>
      <c r="FM77" s="26" t="s">
        <v>359</v>
      </c>
      <c r="FN77" s="26" t="s">
        <v>359</v>
      </c>
      <c r="FO77" s="28">
        <v>6176</v>
      </c>
      <c r="FP77" s="28">
        <v>3010</v>
      </c>
      <c r="FQ77">
        <v>862</v>
      </c>
      <c r="FR77">
        <v>138</v>
      </c>
      <c r="FS77">
        <v>53</v>
      </c>
      <c r="FT77">
        <v>38</v>
      </c>
      <c r="FU77">
        <v>5080</v>
      </c>
      <c r="FV77">
        <v>10</v>
      </c>
      <c r="FW77">
        <v>25</v>
      </c>
      <c r="FX77">
        <v>2</v>
      </c>
      <c r="FY77">
        <v>6634</v>
      </c>
      <c r="FZ77">
        <v>2645</v>
      </c>
      <c r="GA77">
        <v>740</v>
      </c>
      <c r="GB77">
        <v>147</v>
      </c>
      <c r="GC77">
        <v>68</v>
      </c>
      <c r="GD77">
        <v>35</v>
      </c>
      <c r="GE77">
        <v>5644</v>
      </c>
      <c r="GF77">
        <v>7</v>
      </c>
      <c r="GG77">
        <v>20</v>
      </c>
      <c r="GH77">
        <v>2</v>
      </c>
      <c r="GI77">
        <v>630</v>
      </c>
      <c r="GJ77">
        <v>842</v>
      </c>
      <c r="GK77">
        <v>716</v>
      </c>
      <c r="GL77">
        <v>588</v>
      </c>
      <c r="GM77">
        <v>482</v>
      </c>
      <c r="GN77">
        <v>410</v>
      </c>
      <c r="GO77">
        <v>403</v>
      </c>
      <c r="GP77">
        <v>372</v>
      </c>
      <c r="GQ77">
        <v>291</v>
      </c>
      <c r="GR77">
        <v>280</v>
      </c>
      <c r="GS77">
        <v>260</v>
      </c>
      <c r="GT77">
        <v>233</v>
      </c>
      <c r="GU77">
        <v>185</v>
      </c>
      <c r="GV77">
        <v>154</v>
      </c>
      <c r="GW77">
        <v>122</v>
      </c>
      <c r="GX77">
        <v>92</v>
      </c>
      <c r="GY77">
        <v>54</v>
      </c>
      <c r="GZ77">
        <v>62</v>
      </c>
      <c r="HA77">
        <v>594</v>
      </c>
      <c r="HB77">
        <v>819</v>
      </c>
      <c r="HC77">
        <v>717</v>
      </c>
      <c r="HD77">
        <v>573</v>
      </c>
      <c r="HE77">
        <v>547</v>
      </c>
      <c r="HF77">
        <v>577</v>
      </c>
      <c r="HG77">
        <v>505</v>
      </c>
      <c r="HH77">
        <v>476</v>
      </c>
      <c r="HI77">
        <v>396</v>
      </c>
      <c r="HJ77">
        <v>333</v>
      </c>
      <c r="HK77">
        <v>292</v>
      </c>
      <c r="HL77">
        <v>249</v>
      </c>
      <c r="HM77">
        <v>158</v>
      </c>
      <c r="HN77">
        <v>147</v>
      </c>
      <c r="HO77">
        <v>82</v>
      </c>
      <c r="HP77">
        <v>65</v>
      </c>
      <c r="HQ77">
        <v>50</v>
      </c>
      <c r="HR77">
        <v>54</v>
      </c>
      <c r="HS77">
        <v>3713</v>
      </c>
      <c r="HT77">
        <v>0</v>
      </c>
      <c r="HU77">
        <v>17</v>
      </c>
      <c r="HV77">
        <v>0</v>
      </c>
      <c r="HW77">
        <v>2</v>
      </c>
      <c r="HX77">
        <v>0</v>
      </c>
      <c r="HY77">
        <v>12</v>
      </c>
      <c r="HZ77">
        <v>0</v>
      </c>
      <c r="IA77">
        <v>369</v>
      </c>
      <c r="IB77">
        <v>638</v>
      </c>
      <c r="IC77">
        <v>822</v>
      </c>
      <c r="ID77">
        <v>982</v>
      </c>
      <c r="IE77">
        <v>691</v>
      </c>
      <c r="IF77">
        <v>476</v>
      </c>
      <c r="IG77">
        <v>221</v>
      </c>
      <c r="IH77">
        <v>131</v>
      </c>
      <c r="II77">
        <v>143</v>
      </c>
      <c r="IJ77">
        <v>457</v>
      </c>
      <c r="IK77">
        <v>921</v>
      </c>
      <c r="IL77">
        <v>1385</v>
      </c>
      <c r="IM77">
        <v>1086</v>
      </c>
      <c r="IN77">
        <v>462</v>
      </c>
      <c r="IO77">
        <v>122</v>
      </c>
      <c r="IP77">
        <v>31</v>
      </c>
      <c r="IQ77">
        <v>7</v>
      </c>
      <c r="IR77">
        <v>2</v>
      </c>
      <c r="IS77">
        <v>1830</v>
      </c>
      <c r="IT77">
        <v>1830</v>
      </c>
      <c r="IU77">
        <v>652</v>
      </c>
      <c r="IV77">
        <v>138</v>
      </c>
      <c r="IW77">
        <v>23</v>
      </c>
      <c r="IX77">
        <v>2479</v>
      </c>
      <c r="IY77">
        <v>367</v>
      </c>
      <c r="IZ77">
        <v>2</v>
      </c>
      <c r="JA77">
        <v>31</v>
      </c>
      <c r="JB77">
        <v>42</v>
      </c>
      <c r="JC77">
        <v>496</v>
      </c>
      <c r="JD77">
        <v>4315</v>
      </c>
      <c r="JE77">
        <v>158</v>
      </c>
      <c r="JF77">
        <v>0</v>
      </c>
      <c r="JH77" s="28">
        <v>3298.9801050930537</v>
      </c>
      <c r="JI77" s="28">
        <v>342.67612718185808</v>
      </c>
      <c r="JJ77">
        <v>444</v>
      </c>
      <c r="JK77">
        <v>3636</v>
      </c>
      <c r="JL77">
        <v>393</v>
      </c>
      <c r="JM77">
        <v>0</v>
      </c>
      <c r="JN77">
        <v>3183</v>
      </c>
      <c r="JO77">
        <v>2370</v>
      </c>
      <c r="JP77">
        <v>649</v>
      </c>
      <c r="JQ77">
        <v>1276</v>
      </c>
      <c r="JR77">
        <v>3343</v>
      </c>
      <c r="JS77">
        <v>411</v>
      </c>
      <c r="JT77">
        <v>83</v>
      </c>
      <c r="JU77">
        <v>3331</v>
      </c>
      <c r="JV77">
        <v>569</v>
      </c>
      <c r="JW77" s="28"/>
      <c r="JX77" s="28"/>
      <c r="JY77" s="28"/>
      <c r="JZ77" s="28"/>
      <c r="KA77" s="28">
        <v>4348.00000215</v>
      </c>
      <c r="KB77">
        <v>15496</v>
      </c>
      <c r="KC77">
        <v>0</v>
      </c>
      <c r="KD77">
        <v>39</v>
      </c>
      <c r="KE77">
        <v>0</v>
      </c>
      <c r="KF77">
        <v>4</v>
      </c>
      <c r="KG77">
        <v>0</v>
      </c>
      <c r="KH77">
        <v>48</v>
      </c>
      <c r="KI77">
        <v>0</v>
      </c>
      <c r="KJ77">
        <v>1952</v>
      </c>
      <c r="KK77">
        <v>15000</v>
      </c>
      <c r="KL77">
        <v>1465</v>
      </c>
      <c r="KM77">
        <v>0</v>
      </c>
      <c r="KT77">
        <v>2715</v>
      </c>
      <c r="KU77">
        <v>2699</v>
      </c>
      <c r="KV77">
        <v>2274</v>
      </c>
      <c r="KW77">
        <v>278</v>
      </c>
      <c r="KX77">
        <v>65</v>
      </c>
      <c r="KZ77">
        <v>2259</v>
      </c>
      <c r="LA77">
        <v>264</v>
      </c>
      <c r="LB77">
        <v>53</v>
      </c>
      <c r="LD77">
        <v>1522</v>
      </c>
      <c r="LE77">
        <v>1570</v>
      </c>
      <c r="LF77">
        <v>623</v>
      </c>
      <c r="LG77">
        <v>911</v>
      </c>
      <c r="LH77">
        <v>12195</v>
      </c>
      <c r="LI77">
        <v>12</v>
      </c>
      <c r="LJ77">
        <v>888</v>
      </c>
      <c r="LK77">
        <v>224</v>
      </c>
      <c r="LL77">
        <v>1363</v>
      </c>
      <c r="LM77">
        <v>0</v>
      </c>
      <c r="LN77">
        <v>934</v>
      </c>
      <c r="LO77">
        <v>268</v>
      </c>
      <c r="LP77">
        <v>14</v>
      </c>
      <c r="LQ77">
        <v>937</v>
      </c>
      <c r="LR77">
        <v>204</v>
      </c>
      <c r="LS77">
        <v>1687</v>
      </c>
      <c r="LT77">
        <v>0</v>
      </c>
      <c r="LU77">
        <v>866</v>
      </c>
      <c r="LV77">
        <v>247</v>
      </c>
      <c r="LW77" s="44"/>
      <c r="LX77" s="44"/>
      <c r="LY77" s="44"/>
      <c r="LZ77">
        <v>4473</v>
      </c>
      <c r="MA77">
        <v>18417</v>
      </c>
      <c r="MB77">
        <v>18128</v>
      </c>
      <c r="MC77">
        <v>440</v>
      </c>
      <c r="MD77" s="26">
        <v>12.578925999999999</v>
      </c>
      <c r="ME77" s="26">
        <v>8.5876319999999993</v>
      </c>
      <c r="MF77" s="26">
        <v>47.339072999999999</v>
      </c>
      <c r="MG77" s="26">
        <v>30.618874999999999</v>
      </c>
      <c r="MH77" s="26">
        <v>9.9262239999999995</v>
      </c>
      <c r="MI77" s="26">
        <v>3.37581</v>
      </c>
      <c r="MJ77" s="26">
        <v>7.6011629999999997</v>
      </c>
      <c r="MK77" s="26">
        <v>3.532305</v>
      </c>
      <c r="ML77" s="26">
        <v>2.7945449999999998</v>
      </c>
      <c r="MM77" s="26">
        <v>47.015425999999998</v>
      </c>
      <c r="MN77" s="26">
        <v>28.839704999999999</v>
      </c>
      <c r="MO77" s="26">
        <v>0.13617799999999999</v>
      </c>
      <c r="MP77" t="s">
        <v>1029</v>
      </c>
      <c r="MQ77">
        <v>890</v>
      </c>
      <c r="MR77">
        <v>82</v>
      </c>
    </row>
    <row r="78" spans="1:356">
      <c r="A78" t="s">
        <v>163</v>
      </c>
      <c r="B78" t="s">
        <v>164</v>
      </c>
      <c r="C78">
        <v>3132</v>
      </c>
      <c r="D78">
        <v>3792</v>
      </c>
      <c r="E78">
        <v>3983</v>
      </c>
      <c r="F78">
        <f t="shared" si="4"/>
        <v>191</v>
      </c>
      <c r="G78" s="26">
        <f t="shared" si="5"/>
        <v>5.0369198312236279</v>
      </c>
      <c r="H78">
        <v>1979</v>
      </c>
      <c r="I78">
        <v>2004</v>
      </c>
      <c r="J78">
        <v>0</v>
      </c>
      <c r="K78">
        <v>3983</v>
      </c>
      <c r="L78">
        <v>230</v>
      </c>
      <c r="M78">
        <v>207</v>
      </c>
      <c r="N78">
        <v>198</v>
      </c>
      <c r="O78">
        <v>208</v>
      </c>
      <c r="P78">
        <v>155</v>
      </c>
      <c r="Q78">
        <v>139</v>
      </c>
      <c r="R78">
        <v>137</v>
      </c>
      <c r="S78">
        <v>131</v>
      </c>
      <c r="T78">
        <v>142</v>
      </c>
      <c r="U78">
        <v>112</v>
      </c>
      <c r="V78">
        <v>75</v>
      </c>
      <c r="W78">
        <v>53</v>
      </c>
      <c r="X78">
        <v>58</v>
      </c>
      <c r="Y78">
        <v>132</v>
      </c>
      <c r="Z78">
        <v>2</v>
      </c>
      <c r="AA78">
        <v>210</v>
      </c>
      <c r="AB78">
        <v>187</v>
      </c>
      <c r="AC78">
        <v>209</v>
      </c>
      <c r="AD78">
        <v>179</v>
      </c>
      <c r="AE78">
        <v>176</v>
      </c>
      <c r="AF78">
        <v>149</v>
      </c>
      <c r="AG78">
        <v>153</v>
      </c>
      <c r="AH78">
        <v>165</v>
      </c>
      <c r="AI78">
        <v>133</v>
      </c>
      <c r="AJ78">
        <v>99</v>
      </c>
      <c r="AK78">
        <v>77</v>
      </c>
      <c r="AL78">
        <v>81</v>
      </c>
      <c r="AM78">
        <v>52</v>
      </c>
      <c r="AN78">
        <v>131</v>
      </c>
      <c r="AO78">
        <v>3</v>
      </c>
      <c r="AP78">
        <v>3750</v>
      </c>
      <c r="AQ78">
        <v>220</v>
      </c>
      <c r="AR78">
        <v>2</v>
      </c>
      <c r="AS78">
        <v>2</v>
      </c>
      <c r="AT78">
        <v>9</v>
      </c>
      <c r="AU78">
        <v>406</v>
      </c>
      <c r="AV78">
        <v>197</v>
      </c>
      <c r="AW78">
        <v>209</v>
      </c>
      <c r="AX78">
        <v>273</v>
      </c>
      <c r="AY78">
        <v>354</v>
      </c>
      <c r="AZ78">
        <v>354</v>
      </c>
      <c r="BA78">
        <v>0</v>
      </c>
      <c r="BB78">
        <v>12</v>
      </c>
      <c r="BC78">
        <v>7</v>
      </c>
      <c r="BD78">
        <v>20</v>
      </c>
      <c r="BE78">
        <v>20</v>
      </c>
      <c r="BF78">
        <v>13</v>
      </c>
      <c r="BG78">
        <v>24</v>
      </c>
      <c r="BH78">
        <v>21</v>
      </c>
      <c r="BI78">
        <v>17</v>
      </c>
      <c r="BJ78">
        <v>27</v>
      </c>
      <c r="BK78">
        <v>25</v>
      </c>
      <c r="BL78">
        <v>23</v>
      </c>
      <c r="BM78">
        <v>25</v>
      </c>
      <c r="BN78">
        <v>14</v>
      </c>
      <c r="BO78">
        <v>17</v>
      </c>
      <c r="BP78">
        <v>11</v>
      </c>
      <c r="BQ78">
        <v>14</v>
      </c>
      <c r="BR78">
        <v>15</v>
      </c>
      <c r="BS78">
        <v>15</v>
      </c>
      <c r="BT78">
        <v>13</v>
      </c>
      <c r="BU78">
        <v>9</v>
      </c>
      <c r="BV78">
        <v>7</v>
      </c>
      <c r="BW78">
        <v>8</v>
      </c>
      <c r="BX78">
        <v>3</v>
      </c>
      <c r="BY78">
        <v>10</v>
      </c>
      <c r="BZ78">
        <v>9</v>
      </c>
      <c r="CA78">
        <v>5</v>
      </c>
      <c r="CB78">
        <v>9</v>
      </c>
      <c r="CC78">
        <v>13</v>
      </c>
      <c r="CD78">
        <v>194</v>
      </c>
      <c r="CE78">
        <v>207</v>
      </c>
      <c r="CF78">
        <v>2</v>
      </c>
      <c r="CG78">
        <v>2</v>
      </c>
      <c r="CH78">
        <v>846</v>
      </c>
      <c r="CI78">
        <v>196</v>
      </c>
      <c r="CJ78">
        <v>3412</v>
      </c>
      <c r="CK78">
        <v>571</v>
      </c>
      <c r="CL78">
        <v>113</v>
      </c>
      <c r="CM78">
        <v>144</v>
      </c>
      <c r="CN78">
        <v>206</v>
      </c>
      <c r="CO78">
        <v>260</v>
      </c>
      <c r="CP78">
        <v>173</v>
      </c>
      <c r="CQ78">
        <v>146</v>
      </c>
      <c r="CR78">
        <v>774</v>
      </c>
      <c r="CS78">
        <v>1810</v>
      </c>
      <c r="CT78">
        <v>221</v>
      </c>
      <c r="CU78">
        <v>57</v>
      </c>
      <c r="CV78">
        <v>28</v>
      </c>
      <c r="CW78">
        <v>45</v>
      </c>
      <c r="CX78">
        <v>2</v>
      </c>
      <c r="CY78">
        <v>734</v>
      </c>
      <c r="CZ78">
        <v>192</v>
      </c>
      <c r="DA78">
        <v>1</v>
      </c>
      <c r="DB78">
        <v>113</v>
      </c>
      <c r="DC78">
        <v>1</v>
      </c>
      <c r="DD78">
        <v>204</v>
      </c>
      <c r="DE78">
        <v>372</v>
      </c>
      <c r="DF78">
        <v>0</v>
      </c>
      <c r="DG78">
        <v>3407</v>
      </c>
      <c r="DH78">
        <v>0</v>
      </c>
      <c r="DI78">
        <v>0</v>
      </c>
      <c r="DJ78">
        <v>0</v>
      </c>
      <c r="DK78">
        <v>0</v>
      </c>
      <c r="DL78">
        <v>0</v>
      </c>
      <c r="DM78">
        <v>9</v>
      </c>
      <c r="DN78">
        <v>2</v>
      </c>
      <c r="DO78">
        <v>0</v>
      </c>
      <c r="DP78">
        <v>3</v>
      </c>
      <c r="DQ78">
        <v>0</v>
      </c>
      <c r="DR78">
        <v>0</v>
      </c>
      <c r="DS78">
        <v>0</v>
      </c>
      <c r="DT78">
        <v>0</v>
      </c>
      <c r="DU78">
        <v>0</v>
      </c>
      <c r="DV78">
        <v>103</v>
      </c>
      <c r="DW78">
        <v>131</v>
      </c>
      <c r="DX78">
        <v>167</v>
      </c>
      <c r="DY78">
        <v>179</v>
      </c>
      <c r="DZ78">
        <v>77</v>
      </c>
      <c r="EA78">
        <v>53</v>
      </c>
      <c r="EB78">
        <v>31</v>
      </c>
      <c r="EC78">
        <v>22</v>
      </c>
      <c r="ED78">
        <v>26</v>
      </c>
      <c r="EE78">
        <v>29</v>
      </c>
      <c r="EF78">
        <v>31</v>
      </c>
      <c r="EG78">
        <v>33</v>
      </c>
      <c r="EH78">
        <v>15</v>
      </c>
      <c r="EI78">
        <v>12</v>
      </c>
      <c r="EJ78">
        <v>191</v>
      </c>
      <c r="EK78">
        <v>308</v>
      </c>
      <c r="EL78">
        <v>108</v>
      </c>
      <c r="EM78">
        <v>43</v>
      </c>
      <c r="EN78">
        <v>43</v>
      </c>
      <c r="EO78">
        <v>59</v>
      </c>
      <c r="EP78">
        <v>23</v>
      </c>
      <c r="EQ78">
        <v>948</v>
      </c>
      <c r="ER78">
        <v>912</v>
      </c>
      <c r="ES78">
        <v>36</v>
      </c>
      <c r="ET78">
        <v>515</v>
      </c>
      <c r="EU78">
        <v>348</v>
      </c>
      <c r="EV78">
        <v>342</v>
      </c>
      <c r="EW78">
        <v>6</v>
      </c>
      <c r="EX78">
        <v>1165</v>
      </c>
      <c r="EY78" s="26">
        <v>34.584665000000001</v>
      </c>
      <c r="EZ78" s="26">
        <v>21.485622999999997</v>
      </c>
      <c r="FA78" s="26">
        <v>9.1054309999999994</v>
      </c>
      <c r="FB78" s="26">
        <v>34.345047999999998</v>
      </c>
      <c r="FC78" s="26">
        <v>0.47923300000000002</v>
      </c>
      <c r="FD78">
        <v>88</v>
      </c>
      <c r="FE78">
        <v>344</v>
      </c>
      <c r="FF78">
        <v>27</v>
      </c>
      <c r="FG78">
        <v>414</v>
      </c>
      <c r="FH78">
        <v>1</v>
      </c>
      <c r="FI78">
        <v>290</v>
      </c>
      <c r="FJ78">
        <v>132</v>
      </c>
      <c r="FK78" s="26" t="s">
        <v>359</v>
      </c>
      <c r="FL78" s="26" t="s">
        <v>359</v>
      </c>
      <c r="FM78" s="26" t="s">
        <v>359</v>
      </c>
      <c r="FN78" s="26" t="s">
        <v>359</v>
      </c>
      <c r="FO78" s="28">
        <v>1638</v>
      </c>
      <c r="FP78" s="28">
        <v>338</v>
      </c>
      <c r="FQ78">
        <v>204</v>
      </c>
      <c r="FR78">
        <v>18</v>
      </c>
      <c r="FS78">
        <v>7</v>
      </c>
      <c r="FT78">
        <v>178</v>
      </c>
      <c r="FU78">
        <v>990</v>
      </c>
      <c r="FV78">
        <v>106</v>
      </c>
      <c r="FW78">
        <v>76</v>
      </c>
      <c r="FX78">
        <v>3</v>
      </c>
      <c r="FY78">
        <v>1692</v>
      </c>
      <c r="FZ78">
        <v>306</v>
      </c>
      <c r="GA78">
        <v>181</v>
      </c>
      <c r="GB78">
        <v>22</v>
      </c>
      <c r="GC78">
        <v>7</v>
      </c>
      <c r="GD78">
        <v>180</v>
      </c>
      <c r="GE78">
        <v>1067</v>
      </c>
      <c r="GF78">
        <v>117</v>
      </c>
      <c r="GG78">
        <v>71</v>
      </c>
      <c r="GH78">
        <v>6</v>
      </c>
      <c r="GI78">
        <v>195</v>
      </c>
      <c r="GJ78">
        <v>179</v>
      </c>
      <c r="GK78">
        <v>181</v>
      </c>
      <c r="GL78">
        <v>163</v>
      </c>
      <c r="GM78">
        <v>125</v>
      </c>
      <c r="GN78">
        <v>114</v>
      </c>
      <c r="GO78">
        <v>115</v>
      </c>
      <c r="GP78">
        <v>115</v>
      </c>
      <c r="GQ78">
        <v>109</v>
      </c>
      <c r="GR78">
        <v>89</v>
      </c>
      <c r="GS78">
        <v>62</v>
      </c>
      <c r="GT78">
        <v>42</v>
      </c>
      <c r="GU78">
        <v>42</v>
      </c>
      <c r="GV78">
        <v>44</v>
      </c>
      <c r="GW78">
        <v>22</v>
      </c>
      <c r="GX78">
        <v>15</v>
      </c>
      <c r="GY78">
        <v>11</v>
      </c>
      <c r="GZ78">
        <v>15</v>
      </c>
      <c r="HA78">
        <v>173</v>
      </c>
      <c r="HB78">
        <v>160</v>
      </c>
      <c r="HC78">
        <v>184</v>
      </c>
      <c r="HD78">
        <v>149</v>
      </c>
      <c r="HE78">
        <v>152</v>
      </c>
      <c r="HF78">
        <v>128</v>
      </c>
      <c r="HG78">
        <v>135</v>
      </c>
      <c r="HH78">
        <v>143</v>
      </c>
      <c r="HI78">
        <v>112</v>
      </c>
      <c r="HJ78">
        <v>79</v>
      </c>
      <c r="HK78">
        <v>56</v>
      </c>
      <c r="HL78">
        <v>68</v>
      </c>
      <c r="HM78">
        <v>43</v>
      </c>
      <c r="HN78">
        <v>41</v>
      </c>
      <c r="HO78">
        <v>26</v>
      </c>
      <c r="HP78">
        <v>16</v>
      </c>
      <c r="HQ78">
        <v>13</v>
      </c>
      <c r="HR78">
        <v>14</v>
      </c>
      <c r="HS78">
        <v>735</v>
      </c>
      <c r="HT78">
        <v>0</v>
      </c>
      <c r="HU78">
        <v>1</v>
      </c>
      <c r="HV78">
        <v>0</v>
      </c>
      <c r="HW78">
        <v>3</v>
      </c>
      <c r="HX78">
        <v>0</v>
      </c>
      <c r="HY78">
        <v>0</v>
      </c>
      <c r="HZ78">
        <v>2</v>
      </c>
      <c r="IA78">
        <v>111</v>
      </c>
      <c r="IB78">
        <v>144</v>
      </c>
      <c r="IC78">
        <v>206</v>
      </c>
      <c r="ID78">
        <v>260</v>
      </c>
      <c r="IE78">
        <v>173</v>
      </c>
      <c r="IF78">
        <v>72</v>
      </c>
      <c r="IG78">
        <v>27</v>
      </c>
      <c r="IH78">
        <v>14</v>
      </c>
      <c r="II78">
        <v>32</v>
      </c>
      <c r="IJ78">
        <v>120</v>
      </c>
      <c r="IK78">
        <v>378</v>
      </c>
      <c r="IL78">
        <v>323</v>
      </c>
      <c r="IM78">
        <v>121</v>
      </c>
      <c r="IN78">
        <v>74</v>
      </c>
      <c r="IO78">
        <v>16</v>
      </c>
      <c r="IP78">
        <v>6</v>
      </c>
      <c r="IQ78">
        <v>0</v>
      </c>
      <c r="IR78">
        <v>0</v>
      </c>
      <c r="IS78">
        <v>540</v>
      </c>
      <c r="IT78">
        <v>360</v>
      </c>
      <c r="IU78">
        <v>102</v>
      </c>
      <c r="IV78">
        <v>31</v>
      </c>
      <c r="IW78">
        <v>5</v>
      </c>
      <c r="IX78">
        <v>650</v>
      </c>
      <c r="IY78">
        <v>337</v>
      </c>
      <c r="IZ78">
        <v>2</v>
      </c>
      <c r="JA78">
        <v>4</v>
      </c>
      <c r="JB78">
        <v>0</v>
      </c>
      <c r="JC78">
        <v>29</v>
      </c>
      <c r="JD78">
        <v>1013</v>
      </c>
      <c r="JE78">
        <v>25</v>
      </c>
      <c r="JF78">
        <v>1</v>
      </c>
      <c r="JH78" s="28">
        <v>902.7624287968855</v>
      </c>
      <c r="JI78" s="28">
        <v>16.237606101850023</v>
      </c>
      <c r="JJ78">
        <v>46</v>
      </c>
      <c r="JK78">
        <v>876</v>
      </c>
      <c r="JL78">
        <v>116</v>
      </c>
      <c r="JM78">
        <v>1</v>
      </c>
      <c r="JN78">
        <v>746</v>
      </c>
      <c r="JO78">
        <v>508</v>
      </c>
      <c r="JP78">
        <v>131</v>
      </c>
      <c r="JQ78">
        <v>368</v>
      </c>
      <c r="JR78">
        <v>853</v>
      </c>
      <c r="JS78">
        <v>136</v>
      </c>
      <c r="JT78">
        <v>40</v>
      </c>
      <c r="JU78">
        <v>800</v>
      </c>
      <c r="JV78">
        <v>98</v>
      </c>
      <c r="JW78" s="28"/>
      <c r="JX78" s="28"/>
      <c r="JY78" s="28"/>
      <c r="JZ78" s="28"/>
      <c r="KA78" s="28">
        <v>1033.0000035800001</v>
      </c>
      <c r="KB78">
        <v>2889</v>
      </c>
      <c r="KC78">
        <v>0</v>
      </c>
      <c r="KD78">
        <v>1</v>
      </c>
      <c r="KE78">
        <v>0</v>
      </c>
      <c r="KF78">
        <v>8</v>
      </c>
      <c r="KG78">
        <v>0</v>
      </c>
      <c r="KH78">
        <v>0</v>
      </c>
      <c r="KI78">
        <v>6</v>
      </c>
      <c r="KJ78">
        <v>172</v>
      </c>
      <c r="KK78">
        <v>3353</v>
      </c>
      <c r="KL78">
        <v>445</v>
      </c>
      <c r="KM78">
        <v>5</v>
      </c>
      <c r="KT78">
        <v>628</v>
      </c>
      <c r="KU78">
        <v>561</v>
      </c>
      <c r="KV78">
        <v>483</v>
      </c>
      <c r="KW78">
        <v>94</v>
      </c>
      <c r="KX78">
        <v>13</v>
      </c>
      <c r="KZ78">
        <v>456</v>
      </c>
      <c r="LA78">
        <v>73</v>
      </c>
      <c r="LB78">
        <v>17</v>
      </c>
      <c r="LD78">
        <v>316</v>
      </c>
      <c r="LE78">
        <v>308</v>
      </c>
      <c r="LF78">
        <v>68</v>
      </c>
      <c r="LG78">
        <v>135</v>
      </c>
      <c r="LH78">
        <v>2737</v>
      </c>
      <c r="LI78">
        <v>13</v>
      </c>
      <c r="LJ78">
        <v>186</v>
      </c>
      <c r="LK78">
        <v>36</v>
      </c>
      <c r="LL78">
        <v>400</v>
      </c>
      <c r="LM78">
        <v>1</v>
      </c>
      <c r="LN78">
        <v>261</v>
      </c>
      <c r="LO78">
        <v>55</v>
      </c>
      <c r="LP78">
        <v>15</v>
      </c>
      <c r="LQ78">
        <v>246</v>
      </c>
      <c r="LR78">
        <v>41</v>
      </c>
      <c r="LS78">
        <v>482</v>
      </c>
      <c r="LT78">
        <v>1</v>
      </c>
      <c r="LU78">
        <v>170</v>
      </c>
      <c r="LV78">
        <v>42</v>
      </c>
      <c r="LW78" s="44"/>
      <c r="LX78" s="44"/>
      <c r="LY78" s="44"/>
      <c r="LZ78">
        <v>1039</v>
      </c>
      <c r="MA78">
        <v>3975</v>
      </c>
      <c r="MB78">
        <v>3682</v>
      </c>
      <c r="MC78">
        <v>357</v>
      </c>
      <c r="MD78" s="26">
        <v>7.4168799999999999</v>
      </c>
      <c r="ME78" s="26">
        <v>5.7665259999999998</v>
      </c>
      <c r="MF78" s="26">
        <v>40.189988999999997</v>
      </c>
      <c r="MG78" s="26">
        <v>16.168717000000001</v>
      </c>
      <c r="MH78" s="26">
        <v>4.4273340000000001</v>
      </c>
      <c r="MI78" s="26">
        <v>2.3099129999999999</v>
      </c>
      <c r="MJ78" s="26">
        <v>0.67372500000000002</v>
      </c>
      <c r="MK78" s="26">
        <v>2.4061599999999999</v>
      </c>
      <c r="ML78" s="26">
        <v>0.57747799999999994</v>
      </c>
      <c r="MM78" s="26">
        <v>51.106832999999995</v>
      </c>
      <c r="MN78" s="26">
        <v>28.200191999999998</v>
      </c>
      <c r="MO78" s="26">
        <v>-0.32681699999999997</v>
      </c>
      <c r="MP78" t="s">
        <v>1027</v>
      </c>
      <c r="MQ78">
        <v>1351</v>
      </c>
      <c r="MR78">
        <v>117</v>
      </c>
    </row>
    <row r="79" spans="1:356">
      <c r="A79" t="s">
        <v>165</v>
      </c>
      <c r="B79" t="s">
        <v>166</v>
      </c>
      <c r="C79">
        <v>37887</v>
      </c>
      <c r="D79">
        <v>43350</v>
      </c>
      <c r="E79">
        <v>54932</v>
      </c>
      <c r="F79">
        <f t="shared" si="4"/>
        <v>11582</v>
      </c>
      <c r="G79" s="26">
        <f t="shared" si="5"/>
        <v>26.717416378316045</v>
      </c>
      <c r="H79">
        <v>27514</v>
      </c>
      <c r="I79">
        <v>27418</v>
      </c>
      <c r="J79">
        <v>13981</v>
      </c>
      <c r="K79">
        <v>40951</v>
      </c>
      <c r="L79">
        <v>3825</v>
      </c>
      <c r="M79">
        <v>4168</v>
      </c>
      <c r="N79">
        <v>3732</v>
      </c>
      <c r="O79">
        <v>2940</v>
      </c>
      <c r="P79">
        <v>2276</v>
      </c>
      <c r="Q79">
        <v>2015</v>
      </c>
      <c r="R79">
        <v>1583</v>
      </c>
      <c r="S79">
        <v>1450</v>
      </c>
      <c r="T79">
        <v>1166</v>
      </c>
      <c r="U79">
        <v>981</v>
      </c>
      <c r="V79">
        <v>854</v>
      </c>
      <c r="W79">
        <v>690</v>
      </c>
      <c r="X79">
        <v>621</v>
      </c>
      <c r="Y79">
        <v>1213</v>
      </c>
      <c r="Z79">
        <v>0</v>
      </c>
      <c r="AA79">
        <v>3768</v>
      </c>
      <c r="AB79">
        <v>4234</v>
      </c>
      <c r="AC79">
        <v>3739</v>
      </c>
      <c r="AD79">
        <v>2950</v>
      </c>
      <c r="AE79">
        <v>2256</v>
      </c>
      <c r="AF79">
        <v>1971</v>
      </c>
      <c r="AG79">
        <v>1648</v>
      </c>
      <c r="AH79">
        <v>1472</v>
      </c>
      <c r="AI79">
        <v>1167</v>
      </c>
      <c r="AJ79">
        <v>1012</v>
      </c>
      <c r="AK79">
        <v>805</v>
      </c>
      <c r="AL79">
        <v>656</v>
      </c>
      <c r="AM79">
        <v>631</v>
      </c>
      <c r="AN79">
        <v>1109</v>
      </c>
      <c r="AO79">
        <v>0</v>
      </c>
      <c r="AP79">
        <v>54903</v>
      </c>
      <c r="AQ79">
        <v>19</v>
      </c>
      <c r="AR79">
        <v>0</v>
      </c>
      <c r="AS79">
        <v>2</v>
      </c>
      <c r="AT79">
        <v>8</v>
      </c>
      <c r="AU79">
        <v>47883</v>
      </c>
      <c r="AV79">
        <v>24023</v>
      </c>
      <c r="AW79">
        <v>23860</v>
      </c>
      <c r="AX79">
        <v>30595</v>
      </c>
      <c r="AY79">
        <v>38804</v>
      </c>
      <c r="AZ79">
        <v>29707</v>
      </c>
      <c r="BA79">
        <v>9097</v>
      </c>
      <c r="BB79">
        <v>1500</v>
      </c>
      <c r="BC79">
        <v>1415</v>
      </c>
      <c r="BD79">
        <v>3808</v>
      </c>
      <c r="BE79">
        <v>3907</v>
      </c>
      <c r="BF79">
        <v>3511</v>
      </c>
      <c r="BG79">
        <v>3512</v>
      </c>
      <c r="BH79">
        <v>2793</v>
      </c>
      <c r="BI79">
        <v>2787</v>
      </c>
      <c r="BJ79">
        <v>2181</v>
      </c>
      <c r="BK79">
        <v>2169</v>
      </c>
      <c r="BL79">
        <v>1941</v>
      </c>
      <c r="BM79">
        <v>1882</v>
      </c>
      <c r="BN79">
        <v>1525</v>
      </c>
      <c r="BO79">
        <v>1585</v>
      </c>
      <c r="BP79">
        <v>1393</v>
      </c>
      <c r="BQ79">
        <v>1399</v>
      </c>
      <c r="BR79">
        <v>1120</v>
      </c>
      <c r="BS79">
        <v>1121</v>
      </c>
      <c r="BT79">
        <v>953</v>
      </c>
      <c r="BU79">
        <v>978</v>
      </c>
      <c r="BV79">
        <v>834</v>
      </c>
      <c r="BW79">
        <v>781</v>
      </c>
      <c r="BX79">
        <v>673</v>
      </c>
      <c r="BY79">
        <v>640</v>
      </c>
      <c r="BZ79">
        <v>604</v>
      </c>
      <c r="CA79">
        <v>610</v>
      </c>
      <c r="CB79">
        <v>1187</v>
      </c>
      <c r="CC79">
        <v>1074</v>
      </c>
      <c r="CD79">
        <v>16916</v>
      </c>
      <c r="CE79">
        <v>14771</v>
      </c>
      <c r="CF79">
        <v>6109</v>
      </c>
      <c r="CG79">
        <v>8084</v>
      </c>
      <c r="CH79">
        <v>8859</v>
      </c>
      <c r="CI79">
        <v>1243</v>
      </c>
      <c r="CJ79">
        <v>49713</v>
      </c>
      <c r="CK79">
        <v>5068</v>
      </c>
      <c r="CL79">
        <v>387</v>
      </c>
      <c r="CM79">
        <v>944</v>
      </c>
      <c r="CN79">
        <v>1182</v>
      </c>
      <c r="CO79">
        <v>1463</v>
      </c>
      <c r="CP79">
        <v>1596</v>
      </c>
      <c r="CQ79">
        <v>4530</v>
      </c>
      <c r="CR79">
        <v>8466</v>
      </c>
      <c r="CS79">
        <v>30686</v>
      </c>
      <c r="CT79">
        <v>3281</v>
      </c>
      <c r="CU79">
        <v>1365</v>
      </c>
      <c r="CV79">
        <v>378</v>
      </c>
      <c r="CW79">
        <v>483</v>
      </c>
      <c r="CX79">
        <v>20</v>
      </c>
      <c r="CY79">
        <v>7400</v>
      </c>
      <c r="CZ79">
        <v>2299</v>
      </c>
      <c r="DA79">
        <v>12</v>
      </c>
      <c r="DB79">
        <v>387</v>
      </c>
      <c r="DC79">
        <v>4</v>
      </c>
      <c r="DD79">
        <v>2698</v>
      </c>
      <c r="DE79">
        <v>10622</v>
      </c>
      <c r="DF79">
        <v>9977</v>
      </c>
      <c r="DG79">
        <v>17654</v>
      </c>
      <c r="DH79">
        <v>3625</v>
      </c>
      <c r="DI79">
        <v>0</v>
      </c>
      <c r="DJ79">
        <v>10356</v>
      </c>
      <c r="DK79">
        <v>0</v>
      </c>
      <c r="DL79">
        <v>0</v>
      </c>
      <c r="DM79">
        <v>51</v>
      </c>
      <c r="DN79">
        <v>62</v>
      </c>
      <c r="DO79">
        <v>28</v>
      </c>
      <c r="DP79">
        <v>18</v>
      </c>
      <c r="DQ79">
        <v>1</v>
      </c>
      <c r="DR79">
        <v>0</v>
      </c>
      <c r="DS79">
        <v>1</v>
      </c>
      <c r="DT79">
        <v>0</v>
      </c>
      <c r="DU79">
        <v>0</v>
      </c>
      <c r="DV79">
        <v>670</v>
      </c>
      <c r="DW79">
        <v>693</v>
      </c>
      <c r="DX79">
        <v>950</v>
      </c>
      <c r="DY79">
        <v>997</v>
      </c>
      <c r="DZ79">
        <v>668</v>
      </c>
      <c r="EA79">
        <v>614</v>
      </c>
      <c r="EB79">
        <v>313</v>
      </c>
      <c r="EC79">
        <v>307</v>
      </c>
      <c r="ED79">
        <v>314</v>
      </c>
      <c r="EE79">
        <v>302</v>
      </c>
      <c r="EF79">
        <v>383</v>
      </c>
      <c r="EG79">
        <v>393</v>
      </c>
      <c r="EH79">
        <v>117</v>
      </c>
      <c r="EI79">
        <v>77</v>
      </c>
      <c r="EJ79">
        <v>1238</v>
      </c>
      <c r="EK79">
        <v>1706</v>
      </c>
      <c r="EL79">
        <v>1140</v>
      </c>
      <c r="EM79">
        <v>556</v>
      </c>
      <c r="EN79">
        <v>558</v>
      </c>
      <c r="EO79">
        <v>693</v>
      </c>
      <c r="EP79">
        <v>170</v>
      </c>
      <c r="EQ79">
        <v>11668</v>
      </c>
      <c r="ER79">
        <v>10508</v>
      </c>
      <c r="ES79">
        <v>1160</v>
      </c>
      <c r="ET79">
        <v>6197</v>
      </c>
      <c r="EU79">
        <v>2297</v>
      </c>
      <c r="EV79">
        <v>2038</v>
      </c>
      <c r="EW79">
        <v>259</v>
      </c>
      <c r="EX79">
        <v>15491</v>
      </c>
      <c r="EY79" s="26">
        <v>77.996808000000001</v>
      </c>
      <c r="EZ79" s="26">
        <v>3.926577</v>
      </c>
      <c r="FA79" s="26">
        <v>5.3711089999999997</v>
      </c>
      <c r="FB79" s="26">
        <v>12.194732999999999</v>
      </c>
      <c r="FC79" s="26">
        <v>0.51077399999999995</v>
      </c>
      <c r="FD79">
        <v>1023</v>
      </c>
      <c r="FE79">
        <v>5697</v>
      </c>
      <c r="FF79">
        <v>337</v>
      </c>
      <c r="FG79">
        <v>3774</v>
      </c>
      <c r="FH79">
        <v>0</v>
      </c>
      <c r="FI79">
        <v>2297</v>
      </c>
      <c r="FJ79">
        <v>829</v>
      </c>
      <c r="FK79" s="26" t="s">
        <v>359</v>
      </c>
      <c r="FL79" s="26" t="s">
        <v>359</v>
      </c>
      <c r="FM79" s="26" t="s">
        <v>359</v>
      </c>
      <c r="FN79" s="26" t="s">
        <v>359</v>
      </c>
      <c r="FO79" s="28">
        <v>25442</v>
      </c>
      <c r="FP79" s="28">
        <v>2067</v>
      </c>
      <c r="FQ79">
        <v>2696</v>
      </c>
      <c r="FR79">
        <v>261</v>
      </c>
      <c r="FS79">
        <v>8</v>
      </c>
      <c r="FT79">
        <v>6</v>
      </c>
      <c r="FU79">
        <v>21512</v>
      </c>
      <c r="FV79">
        <v>203</v>
      </c>
      <c r="FW79">
        <v>77</v>
      </c>
      <c r="FX79">
        <v>5</v>
      </c>
      <c r="FY79">
        <v>25436</v>
      </c>
      <c r="FZ79">
        <v>1979</v>
      </c>
      <c r="GA79">
        <v>2736</v>
      </c>
      <c r="GB79">
        <v>296</v>
      </c>
      <c r="GC79">
        <v>10</v>
      </c>
      <c r="GD79">
        <v>8</v>
      </c>
      <c r="GE79">
        <v>21440</v>
      </c>
      <c r="GF79">
        <v>223</v>
      </c>
      <c r="GG79">
        <v>64</v>
      </c>
      <c r="GH79">
        <v>3</v>
      </c>
      <c r="GI79">
        <v>3325</v>
      </c>
      <c r="GJ79">
        <v>3949</v>
      </c>
      <c r="GK79">
        <v>3542</v>
      </c>
      <c r="GL79">
        <v>2786</v>
      </c>
      <c r="GM79">
        <v>2085</v>
      </c>
      <c r="GN79">
        <v>1814</v>
      </c>
      <c r="GO79">
        <v>1444</v>
      </c>
      <c r="GP79">
        <v>1349</v>
      </c>
      <c r="GQ79">
        <v>1098</v>
      </c>
      <c r="GR79">
        <v>928</v>
      </c>
      <c r="GS79">
        <v>804</v>
      </c>
      <c r="GT79">
        <v>643</v>
      </c>
      <c r="GU79">
        <v>557</v>
      </c>
      <c r="GV79">
        <v>421</v>
      </c>
      <c r="GW79">
        <v>238</v>
      </c>
      <c r="GX79">
        <v>194</v>
      </c>
      <c r="GY79">
        <v>145</v>
      </c>
      <c r="GZ79">
        <v>120</v>
      </c>
      <c r="HA79">
        <v>3286</v>
      </c>
      <c r="HB79">
        <v>3992</v>
      </c>
      <c r="HC79">
        <v>3564</v>
      </c>
      <c r="HD79">
        <v>2729</v>
      </c>
      <c r="HE79">
        <v>2061</v>
      </c>
      <c r="HF79">
        <v>1834</v>
      </c>
      <c r="HG79">
        <v>1545</v>
      </c>
      <c r="HH79">
        <v>1380</v>
      </c>
      <c r="HI79">
        <v>1119</v>
      </c>
      <c r="HJ79">
        <v>970</v>
      </c>
      <c r="HK79">
        <v>757</v>
      </c>
      <c r="HL79">
        <v>610</v>
      </c>
      <c r="HM79">
        <v>572</v>
      </c>
      <c r="HN79">
        <v>402</v>
      </c>
      <c r="HO79">
        <v>218</v>
      </c>
      <c r="HP79">
        <v>188</v>
      </c>
      <c r="HQ79">
        <v>100</v>
      </c>
      <c r="HR79">
        <v>109</v>
      </c>
      <c r="HS79">
        <v>9749</v>
      </c>
      <c r="HT79">
        <v>0</v>
      </c>
      <c r="HU79">
        <v>17</v>
      </c>
      <c r="HV79">
        <v>0</v>
      </c>
      <c r="HW79">
        <v>3</v>
      </c>
      <c r="HX79">
        <v>0</v>
      </c>
      <c r="HY79">
        <v>0</v>
      </c>
      <c r="HZ79">
        <v>1</v>
      </c>
      <c r="IA79">
        <v>387</v>
      </c>
      <c r="IB79">
        <v>944</v>
      </c>
      <c r="IC79">
        <v>1181</v>
      </c>
      <c r="ID79">
        <v>1461</v>
      </c>
      <c r="IE79">
        <v>1596</v>
      </c>
      <c r="IF79">
        <v>1453</v>
      </c>
      <c r="IG79">
        <v>1077</v>
      </c>
      <c r="IH79">
        <v>758</v>
      </c>
      <c r="II79">
        <v>1242</v>
      </c>
      <c r="IJ79">
        <v>330</v>
      </c>
      <c r="IK79">
        <v>3658</v>
      </c>
      <c r="IL79">
        <v>3539</v>
      </c>
      <c r="IM79">
        <v>1581</v>
      </c>
      <c r="IN79">
        <v>623</v>
      </c>
      <c r="IO79">
        <v>225</v>
      </c>
      <c r="IP79">
        <v>89</v>
      </c>
      <c r="IQ79">
        <v>22</v>
      </c>
      <c r="IR79">
        <v>32</v>
      </c>
      <c r="IS79">
        <v>3884</v>
      </c>
      <c r="IT79">
        <v>3781</v>
      </c>
      <c r="IU79">
        <v>1565</v>
      </c>
      <c r="IV79">
        <v>583</v>
      </c>
      <c r="IW79">
        <v>286</v>
      </c>
      <c r="IX79">
        <v>1326</v>
      </c>
      <c r="IY79">
        <v>662</v>
      </c>
      <c r="IZ79">
        <v>102</v>
      </c>
      <c r="JA79">
        <v>16</v>
      </c>
      <c r="JB79">
        <v>16</v>
      </c>
      <c r="JC79">
        <v>219</v>
      </c>
      <c r="JD79">
        <v>4149</v>
      </c>
      <c r="JE79">
        <v>5950</v>
      </c>
      <c r="JF79">
        <v>0</v>
      </c>
      <c r="JH79" s="28">
        <v>8027.2975723304162</v>
      </c>
      <c r="JI79" s="28">
        <v>143.0079581738855</v>
      </c>
      <c r="JJ79">
        <v>4276</v>
      </c>
      <c r="JK79">
        <v>5691</v>
      </c>
      <c r="JL79">
        <v>132</v>
      </c>
      <c r="JM79">
        <v>0</v>
      </c>
      <c r="JN79">
        <v>849</v>
      </c>
      <c r="JO79">
        <v>242</v>
      </c>
      <c r="JP79">
        <v>305</v>
      </c>
      <c r="JQ79">
        <v>3326</v>
      </c>
      <c r="JR79">
        <v>2746</v>
      </c>
      <c r="JS79">
        <v>206</v>
      </c>
      <c r="JT79">
        <v>75</v>
      </c>
      <c r="JU79">
        <v>2859</v>
      </c>
      <c r="JV79">
        <v>174</v>
      </c>
      <c r="JW79" s="28"/>
      <c r="JX79" s="28"/>
      <c r="JY79" s="28"/>
      <c r="JZ79" s="28"/>
      <c r="KA79" s="28">
        <v>8920.0000212300001</v>
      </c>
      <c r="KB79">
        <v>53026</v>
      </c>
      <c r="KC79">
        <v>0</v>
      </c>
      <c r="KD79">
        <v>76</v>
      </c>
      <c r="KE79">
        <v>0</v>
      </c>
      <c r="KF79">
        <v>11</v>
      </c>
      <c r="KG79">
        <v>0</v>
      </c>
      <c r="KH79">
        <v>0</v>
      </c>
      <c r="KI79">
        <v>7</v>
      </c>
      <c r="KJ79">
        <v>22564</v>
      </c>
      <c r="KK79">
        <v>31552</v>
      </c>
      <c r="KL79">
        <v>654</v>
      </c>
      <c r="KM79">
        <v>0</v>
      </c>
      <c r="KT79">
        <v>9867</v>
      </c>
      <c r="KU79">
        <v>9656</v>
      </c>
      <c r="KV79">
        <v>8549</v>
      </c>
      <c r="KW79">
        <v>949</v>
      </c>
      <c r="KX79">
        <v>168</v>
      </c>
      <c r="KZ79">
        <v>8544</v>
      </c>
      <c r="LA79">
        <v>780</v>
      </c>
      <c r="LB79">
        <v>169</v>
      </c>
      <c r="LD79">
        <v>4993</v>
      </c>
      <c r="LE79">
        <v>5007</v>
      </c>
      <c r="LF79">
        <v>1751</v>
      </c>
      <c r="LG79">
        <v>3278</v>
      </c>
      <c r="LH79">
        <v>31466</v>
      </c>
      <c r="LI79">
        <v>20</v>
      </c>
      <c r="LJ79">
        <v>3431</v>
      </c>
      <c r="LK79">
        <v>660</v>
      </c>
      <c r="LL79">
        <v>4177</v>
      </c>
      <c r="LM79">
        <v>2</v>
      </c>
      <c r="LN79">
        <v>2426</v>
      </c>
      <c r="LO79">
        <v>517</v>
      </c>
      <c r="LP79">
        <v>34</v>
      </c>
      <c r="LQ79">
        <v>3449</v>
      </c>
      <c r="LR79">
        <v>658</v>
      </c>
      <c r="LS79">
        <v>3583</v>
      </c>
      <c r="LT79">
        <v>2</v>
      </c>
      <c r="LU79">
        <v>1688</v>
      </c>
      <c r="LV79">
        <v>370</v>
      </c>
      <c r="LW79" s="44"/>
      <c r="LX79" s="44"/>
      <c r="LY79" s="44"/>
      <c r="LZ79">
        <v>10099</v>
      </c>
      <c r="MA79">
        <v>54770</v>
      </c>
      <c r="MB79">
        <v>48126</v>
      </c>
      <c r="MC79">
        <v>43174</v>
      </c>
      <c r="MD79" s="26">
        <v>15.982329999999999</v>
      </c>
      <c r="ME79" s="26">
        <v>7.1101399999999995</v>
      </c>
      <c r="MF79" s="26">
        <v>52.841161999999997</v>
      </c>
      <c r="MG79" s="26">
        <v>7.3654699999999993</v>
      </c>
      <c r="MH79" s="26">
        <v>42.340826</v>
      </c>
      <c r="MI79" s="26">
        <v>4.8420639999999997</v>
      </c>
      <c r="MJ79" s="26">
        <v>69.937618000000001</v>
      </c>
      <c r="MK79" s="26">
        <v>58.916723999999995</v>
      </c>
      <c r="ML79" s="26">
        <v>11.674422999999999</v>
      </c>
      <c r="MM79" s="26">
        <v>97.603723000000002</v>
      </c>
      <c r="MN79" s="26">
        <v>91.593226999999999</v>
      </c>
      <c r="MO79" s="26">
        <v>3.378717</v>
      </c>
      <c r="MP79" t="s">
        <v>1030</v>
      </c>
      <c r="MQ79">
        <v>17</v>
      </c>
      <c r="MR79">
        <v>3</v>
      </c>
    </row>
    <row r="80" spans="1:356">
      <c r="A80" t="s">
        <v>167</v>
      </c>
      <c r="B80" t="s">
        <v>168</v>
      </c>
      <c r="C80">
        <v>85464</v>
      </c>
      <c r="D80">
        <v>110918</v>
      </c>
      <c r="E80">
        <v>132265</v>
      </c>
      <c r="F80">
        <f t="shared" si="4"/>
        <v>21347</v>
      </c>
      <c r="G80" s="26">
        <f t="shared" si="5"/>
        <v>19.245749111956584</v>
      </c>
      <c r="H80">
        <v>65076</v>
      </c>
      <c r="I80">
        <v>67189</v>
      </c>
      <c r="J80">
        <v>51797</v>
      </c>
      <c r="K80">
        <v>80468</v>
      </c>
      <c r="L80">
        <v>7158</v>
      </c>
      <c r="M80">
        <v>7525</v>
      </c>
      <c r="N80">
        <v>7284</v>
      </c>
      <c r="O80">
        <v>6361</v>
      </c>
      <c r="P80">
        <v>5156</v>
      </c>
      <c r="Q80">
        <v>4771</v>
      </c>
      <c r="R80">
        <v>4553</v>
      </c>
      <c r="S80">
        <v>4119</v>
      </c>
      <c r="T80">
        <v>3865</v>
      </c>
      <c r="U80">
        <v>3467</v>
      </c>
      <c r="V80">
        <v>2963</v>
      </c>
      <c r="W80">
        <v>2212</v>
      </c>
      <c r="X80">
        <v>1725</v>
      </c>
      <c r="Y80">
        <v>3753</v>
      </c>
      <c r="Z80">
        <v>164</v>
      </c>
      <c r="AA80">
        <v>6875</v>
      </c>
      <c r="AB80">
        <v>7494</v>
      </c>
      <c r="AC80">
        <v>6859</v>
      </c>
      <c r="AD80">
        <v>6414</v>
      </c>
      <c r="AE80">
        <v>5795</v>
      </c>
      <c r="AF80">
        <v>5492</v>
      </c>
      <c r="AG80">
        <v>5266</v>
      </c>
      <c r="AH80">
        <v>4793</v>
      </c>
      <c r="AI80">
        <v>4217</v>
      </c>
      <c r="AJ80">
        <v>3582</v>
      </c>
      <c r="AK80">
        <v>2897</v>
      </c>
      <c r="AL80">
        <v>2245</v>
      </c>
      <c r="AM80">
        <v>1690</v>
      </c>
      <c r="AN80">
        <v>3403</v>
      </c>
      <c r="AO80">
        <v>167</v>
      </c>
      <c r="AP80">
        <v>118635</v>
      </c>
      <c r="AQ80">
        <v>12031</v>
      </c>
      <c r="AR80">
        <v>87</v>
      </c>
      <c r="AS80">
        <v>1115</v>
      </c>
      <c r="AT80">
        <v>397</v>
      </c>
      <c r="AU80">
        <v>51052</v>
      </c>
      <c r="AV80">
        <v>25160</v>
      </c>
      <c r="AW80">
        <v>25892</v>
      </c>
      <c r="AX80">
        <v>28712</v>
      </c>
      <c r="AY80">
        <v>45412</v>
      </c>
      <c r="AZ80">
        <v>37696</v>
      </c>
      <c r="BA80">
        <v>7716</v>
      </c>
      <c r="BB80">
        <v>984</v>
      </c>
      <c r="BC80">
        <v>938</v>
      </c>
      <c r="BD80">
        <v>2880</v>
      </c>
      <c r="BE80">
        <v>2735</v>
      </c>
      <c r="BF80">
        <v>2991</v>
      </c>
      <c r="BG80">
        <v>2805</v>
      </c>
      <c r="BH80">
        <v>2749</v>
      </c>
      <c r="BI80">
        <v>2779</v>
      </c>
      <c r="BJ80">
        <v>2194</v>
      </c>
      <c r="BK80">
        <v>2421</v>
      </c>
      <c r="BL80">
        <v>1853</v>
      </c>
      <c r="BM80">
        <v>2344</v>
      </c>
      <c r="BN80">
        <v>1885</v>
      </c>
      <c r="BO80">
        <v>2152</v>
      </c>
      <c r="BP80">
        <v>1690</v>
      </c>
      <c r="BQ80">
        <v>2072</v>
      </c>
      <c r="BR80">
        <v>1659</v>
      </c>
      <c r="BS80">
        <v>1748</v>
      </c>
      <c r="BT80">
        <v>1547</v>
      </c>
      <c r="BU80">
        <v>1592</v>
      </c>
      <c r="BV80">
        <v>1281</v>
      </c>
      <c r="BW80">
        <v>1282</v>
      </c>
      <c r="BX80">
        <v>964</v>
      </c>
      <c r="BY80">
        <v>940</v>
      </c>
      <c r="BZ80">
        <v>757</v>
      </c>
      <c r="CA80">
        <v>675</v>
      </c>
      <c r="CB80">
        <v>1726</v>
      </c>
      <c r="CC80">
        <v>1409</v>
      </c>
      <c r="CD80">
        <v>23340</v>
      </c>
      <c r="CE80">
        <v>22219</v>
      </c>
      <c r="CF80">
        <v>1684</v>
      </c>
      <c r="CG80">
        <v>3521</v>
      </c>
      <c r="CH80">
        <v>24525</v>
      </c>
      <c r="CI80">
        <v>9170</v>
      </c>
      <c r="CJ80">
        <v>100667</v>
      </c>
      <c r="CK80">
        <v>31123</v>
      </c>
      <c r="CL80">
        <v>3315</v>
      </c>
      <c r="CM80">
        <v>5810</v>
      </c>
      <c r="CN80">
        <v>6685</v>
      </c>
      <c r="CO80">
        <v>6928</v>
      </c>
      <c r="CP80">
        <v>4701</v>
      </c>
      <c r="CQ80">
        <v>6256</v>
      </c>
      <c r="CR80">
        <v>24204</v>
      </c>
      <c r="CS80">
        <v>58890</v>
      </c>
      <c r="CT80">
        <v>7191</v>
      </c>
      <c r="CU80">
        <v>2281</v>
      </c>
      <c r="CV80">
        <v>1203</v>
      </c>
      <c r="CW80">
        <v>3488</v>
      </c>
      <c r="CX80">
        <v>586</v>
      </c>
      <c r="CY80">
        <v>22644</v>
      </c>
      <c r="CZ80">
        <v>7233</v>
      </c>
      <c r="DA80">
        <v>245</v>
      </c>
      <c r="DB80">
        <v>3315</v>
      </c>
      <c r="DC80">
        <v>181</v>
      </c>
      <c r="DD80">
        <v>7173</v>
      </c>
      <c r="DE80">
        <v>12489</v>
      </c>
      <c r="DF80">
        <v>26054</v>
      </c>
      <c r="DG80">
        <v>34752</v>
      </c>
      <c r="DH80">
        <v>0</v>
      </c>
      <c r="DI80">
        <v>0</v>
      </c>
      <c r="DJ80">
        <v>0</v>
      </c>
      <c r="DK80">
        <v>51797</v>
      </c>
      <c r="DL80">
        <v>0</v>
      </c>
      <c r="DM80">
        <v>495</v>
      </c>
      <c r="DN80">
        <v>77</v>
      </c>
      <c r="DO80">
        <v>71</v>
      </c>
      <c r="DP80">
        <v>39</v>
      </c>
      <c r="DQ80">
        <v>0</v>
      </c>
      <c r="DR80">
        <v>0</v>
      </c>
      <c r="DS80">
        <v>0</v>
      </c>
      <c r="DT80">
        <v>1</v>
      </c>
      <c r="DU80">
        <v>0</v>
      </c>
      <c r="DV80">
        <v>3096</v>
      </c>
      <c r="DW80">
        <v>3436</v>
      </c>
      <c r="DX80">
        <v>5113</v>
      </c>
      <c r="DY80">
        <v>5700</v>
      </c>
      <c r="DZ80">
        <v>2282</v>
      </c>
      <c r="EA80">
        <v>1906</v>
      </c>
      <c r="EB80">
        <v>1331</v>
      </c>
      <c r="EC80">
        <v>1160</v>
      </c>
      <c r="ED80">
        <v>1062</v>
      </c>
      <c r="EE80">
        <v>1004</v>
      </c>
      <c r="EF80">
        <v>1647</v>
      </c>
      <c r="EG80">
        <v>1717</v>
      </c>
      <c r="EH80">
        <v>767</v>
      </c>
      <c r="EI80">
        <v>676</v>
      </c>
      <c r="EJ80">
        <v>4077</v>
      </c>
      <c r="EK80">
        <v>6709</v>
      </c>
      <c r="EL80">
        <v>2565</v>
      </c>
      <c r="EM80">
        <v>1543</v>
      </c>
      <c r="EN80">
        <v>1280</v>
      </c>
      <c r="EO80">
        <v>2102</v>
      </c>
      <c r="EP80">
        <v>924</v>
      </c>
      <c r="EQ80">
        <v>39531</v>
      </c>
      <c r="ER80">
        <v>39192</v>
      </c>
      <c r="ES80">
        <v>339</v>
      </c>
      <c r="ET80">
        <v>7502</v>
      </c>
      <c r="EU80">
        <v>27904</v>
      </c>
      <c r="EV80">
        <v>27765</v>
      </c>
      <c r="EW80">
        <v>139</v>
      </c>
      <c r="EX80">
        <v>21814</v>
      </c>
      <c r="EY80" s="26">
        <v>41.759954</v>
      </c>
      <c r="EZ80" s="26">
        <v>10.915756</v>
      </c>
      <c r="FA80" s="26">
        <v>13.900961000000001</v>
      </c>
      <c r="FB80" s="26">
        <v>32.483866999999996</v>
      </c>
      <c r="FC80" s="26">
        <v>0.93946200000000002</v>
      </c>
      <c r="FD80">
        <v>8184</v>
      </c>
      <c r="FE80">
        <v>19402</v>
      </c>
      <c r="FF80">
        <v>3617</v>
      </c>
      <c r="FG80">
        <v>13875</v>
      </c>
      <c r="FH80">
        <v>51</v>
      </c>
      <c r="FI80">
        <v>13913</v>
      </c>
      <c r="FJ80">
        <v>8361</v>
      </c>
      <c r="FK80" s="26" t="s">
        <v>359</v>
      </c>
      <c r="FL80" s="26" t="s">
        <v>359</v>
      </c>
      <c r="FM80" s="26" t="s">
        <v>359</v>
      </c>
      <c r="FN80" s="26" t="s">
        <v>359</v>
      </c>
      <c r="FO80" s="28">
        <v>39865</v>
      </c>
      <c r="FP80" s="28">
        <v>25012</v>
      </c>
      <c r="FQ80">
        <v>8116</v>
      </c>
      <c r="FR80">
        <v>2224</v>
      </c>
      <c r="FS80">
        <v>286</v>
      </c>
      <c r="FT80">
        <v>282</v>
      </c>
      <c r="FU80">
        <v>27330</v>
      </c>
      <c r="FV80">
        <v>122</v>
      </c>
      <c r="FW80">
        <v>223</v>
      </c>
      <c r="FX80">
        <v>199</v>
      </c>
      <c r="FY80">
        <v>43117</v>
      </c>
      <c r="FZ80">
        <v>23888</v>
      </c>
      <c r="GA80">
        <v>7861</v>
      </c>
      <c r="GB80">
        <v>2467</v>
      </c>
      <c r="GC80">
        <v>335</v>
      </c>
      <c r="GD80">
        <v>225</v>
      </c>
      <c r="GE80">
        <v>30614</v>
      </c>
      <c r="GF80">
        <v>99</v>
      </c>
      <c r="GG80">
        <v>198</v>
      </c>
      <c r="GH80">
        <v>184</v>
      </c>
      <c r="GI80">
        <v>4406</v>
      </c>
      <c r="GJ80">
        <v>5058</v>
      </c>
      <c r="GK80">
        <v>4966</v>
      </c>
      <c r="GL80">
        <v>4022</v>
      </c>
      <c r="GM80">
        <v>2766</v>
      </c>
      <c r="GN80">
        <v>2707</v>
      </c>
      <c r="GO80">
        <v>2701</v>
      </c>
      <c r="GP80">
        <v>2516</v>
      </c>
      <c r="GQ80">
        <v>2350</v>
      </c>
      <c r="GR80">
        <v>2043</v>
      </c>
      <c r="GS80">
        <v>1731</v>
      </c>
      <c r="GT80">
        <v>1348</v>
      </c>
      <c r="GU80">
        <v>993</v>
      </c>
      <c r="GV80">
        <v>746</v>
      </c>
      <c r="GW80">
        <v>588</v>
      </c>
      <c r="GX80">
        <v>443</v>
      </c>
      <c r="GY80">
        <v>251</v>
      </c>
      <c r="GZ80">
        <v>230</v>
      </c>
      <c r="HA80">
        <v>4117</v>
      </c>
      <c r="HB80">
        <v>4992</v>
      </c>
      <c r="HC80">
        <v>4698</v>
      </c>
      <c r="HD80">
        <v>4040</v>
      </c>
      <c r="HE80">
        <v>3485</v>
      </c>
      <c r="HF80">
        <v>3450</v>
      </c>
      <c r="HG80">
        <v>3423</v>
      </c>
      <c r="HH80">
        <v>3190</v>
      </c>
      <c r="HI80">
        <v>2889</v>
      </c>
      <c r="HJ80">
        <v>2365</v>
      </c>
      <c r="HK80">
        <v>1877</v>
      </c>
      <c r="HL80">
        <v>1427</v>
      </c>
      <c r="HM80">
        <v>1045</v>
      </c>
      <c r="HN80">
        <v>779</v>
      </c>
      <c r="HO80">
        <v>573</v>
      </c>
      <c r="HP80">
        <v>367</v>
      </c>
      <c r="HQ80">
        <v>205</v>
      </c>
      <c r="HR80">
        <v>195</v>
      </c>
      <c r="HS80">
        <v>22735</v>
      </c>
      <c r="HT80">
        <v>767</v>
      </c>
      <c r="HU80">
        <v>1101</v>
      </c>
      <c r="HV80">
        <v>0</v>
      </c>
      <c r="HW80">
        <v>49</v>
      </c>
      <c r="HX80">
        <v>0</v>
      </c>
      <c r="HY80">
        <v>7</v>
      </c>
      <c r="HZ80">
        <v>84</v>
      </c>
      <c r="IA80">
        <v>3301</v>
      </c>
      <c r="IB80">
        <v>5797</v>
      </c>
      <c r="IC80">
        <v>6673</v>
      </c>
      <c r="ID80">
        <v>6917</v>
      </c>
      <c r="IE80">
        <v>4697</v>
      </c>
      <c r="IF80">
        <v>2656</v>
      </c>
      <c r="IG80">
        <v>1548</v>
      </c>
      <c r="IH80">
        <v>907</v>
      </c>
      <c r="II80">
        <v>1143</v>
      </c>
      <c r="IJ80">
        <v>6135</v>
      </c>
      <c r="IK80">
        <v>10248</v>
      </c>
      <c r="IL80">
        <v>9916</v>
      </c>
      <c r="IM80">
        <v>4682</v>
      </c>
      <c r="IN80">
        <v>1824</v>
      </c>
      <c r="IO80">
        <v>518</v>
      </c>
      <c r="IP80">
        <v>159</v>
      </c>
      <c r="IQ80">
        <v>49</v>
      </c>
      <c r="IR80">
        <v>26</v>
      </c>
      <c r="IS80">
        <v>17001</v>
      </c>
      <c r="IT80">
        <v>12314</v>
      </c>
      <c r="IU80">
        <v>3331</v>
      </c>
      <c r="IV80">
        <v>745</v>
      </c>
      <c r="IW80">
        <v>166</v>
      </c>
      <c r="IX80">
        <v>13319</v>
      </c>
      <c r="IY80">
        <v>6905</v>
      </c>
      <c r="IZ80">
        <v>72</v>
      </c>
      <c r="JA80">
        <v>145</v>
      </c>
      <c r="JB80">
        <v>128</v>
      </c>
      <c r="JC80">
        <v>1056</v>
      </c>
      <c r="JD80">
        <v>31265</v>
      </c>
      <c r="JE80">
        <v>2292</v>
      </c>
      <c r="JF80">
        <v>82</v>
      </c>
      <c r="JH80" s="28">
        <v>21329.683334046225</v>
      </c>
      <c r="JI80" s="28">
        <v>3835.8107427536984</v>
      </c>
      <c r="JJ80">
        <v>1851</v>
      </c>
      <c r="JK80">
        <v>24817</v>
      </c>
      <c r="JL80">
        <v>6890</v>
      </c>
      <c r="JM80">
        <v>81</v>
      </c>
      <c r="JN80">
        <v>23424</v>
      </c>
      <c r="JO80">
        <v>14050</v>
      </c>
      <c r="JP80">
        <v>5245</v>
      </c>
      <c r="JQ80">
        <v>16552</v>
      </c>
      <c r="JR80">
        <v>25452</v>
      </c>
      <c r="JS80">
        <v>4201</v>
      </c>
      <c r="JT80">
        <v>1957</v>
      </c>
      <c r="JU80">
        <v>22986</v>
      </c>
      <c r="JV80">
        <v>5588</v>
      </c>
      <c r="JW80" s="28"/>
      <c r="JX80" s="28"/>
      <c r="JY80" s="28"/>
      <c r="JZ80" s="28"/>
      <c r="KA80" s="28">
        <v>33034.999981350004</v>
      </c>
      <c r="KB80">
        <v>94104</v>
      </c>
      <c r="KC80">
        <v>2254</v>
      </c>
      <c r="KD80">
        <v>3023</v>
      </c>
      <c r="KE80">
        <v>0</v>
      </c>
      <c r="KF80">
        <v>136</v>
      </c>
      <c r="KG80">
        <v>0</v>
      </c>
      <c r="KH80">
        <v>17</v>
      </c>
      <c r="KI80">
        <v>342</v>
      </c>
      <c r="KJ80">
        <v>8637</v>
      </c>
      <c r="KK80">
        <v>99207</v>
      </c>
      <c r="KL80">
        <v>23466</v>
      </c>
      <c r="KM80">
        <v>327</v>
      </c>
      <c r="KT80">
        <v>20264</v>
      </c>
      <c r="KU80">
        <v>19934</v>
      </c>
      <c r="KV80">
        <v>16323</v>
      </c>
      <c r="KW80">
        <v>2423</v>
      </c>
      <c r="KX80">
        <v>786</v>
      </c>
      <c r="KZ80">
        <v>16036</v>
      </c>
      <c r="LA80">
        <v>2375</v>
      </c>
      <c r="LB80">
        <v>842</v>
      </c>
      <c r="LD80">
        <v>11129</v>
      </c>
      <c r="LE80">
        <v>10924</v>
      </c>
      <c r="LF80">
        <v>4625</v>
      </c>
      <c r="LG80">
        <v>7940</v>
      </c>
      <c r="LH80">
        <v>88739</v>
      </c>
      <c r="LI80">
        <v>178</v>
      </c>
      <c r="LJ80">
        <v>5966</v>
      </c>
      <c r="LK80">
        <v>1747</v>
      </c>
      <c r="LL80">
        <v>8732</v>
      </c>
      <c r="LM80">
        <v>22</v>
      </c>
      <c r="LN80">
        <v>7411</v>
      </c>
      <c r="LO80">
        <v>3371</v>
      </c>
      <c r="LP80">
        <v>172</v>
      </c>
      <c r="LQ80">
        <v>5971</v>
      </c>
      <c r="LR80">
        <v>1504</v>
      </c>
      <c r="LS80">
        <v>10212</v>
      </c>
      <c r="LT80">
        <v>42</v>
      </c>
      <c r="LU80">
        <v>7108</v>
      </c>
      <c r="LV80">
        <v>2923</v>
      </c>
      <c r="LW80" s="44"/>
      <c r="LX80" s="44"/>
      <c r="LY80" s="44"/>
      <c r="LZ80">
        <v>33639</v>
      </c>
      <c r="MA80">
        <v>131637</v>
      </c>
      <c r="MB80">
        <v>119826</v>
      </c>
      <c r="MC80">
        <v>50817</v>
      </c>
      <c r="MD80" s="26">
        <v>14.159500999999999</v>
      </c>
      <c r="ME80" s="26">
        <v>7.6326549999999997</v>
      </c>
      <c r="MF80" s="26">
        <v>44.799918999999996</v>
      </c>
      <c r="MG80" s="26">
        <v>36.971232000000001</v>
      </c>
      <c r="MH80" s="26">
        <v>5.502542</v>
      </c>
      <c r="MI80" s="26">
        <v>4.8366479999999994</v>
      </c>
      <c r="MJ80" s="26">
        <v>4.9169119999999999</v>
      </c>
      <c r="MK80" s="26">
        <v>6.8135199999999996</v>
      </c>
      <c r="ML80" s="26">
        <v>1.7955349999999999</v>
      </c>
      <c r="MM80" s="26">
        <v>58.233002999999997</v>
      </c>
      <c r="MN80" s="26">
        <v>30.366539</v>
      </c>
      <c r="MO80" s="26">
        <v>8.6752999999999997E-2</v>
      </c>
      <c r="MP80" t="s">
        <v>1027</v>
      </c>
      <c r="MQ80">
        <v>935</v>
      </c>
      <c r="MR80">
        <v>83</v>
      </c>
    </row>
    <row r="81" spans="1:356">
      <c r="A81" t="s">
        <v>169</v>
      </c>
      <c r="B81" t="s">
        <v>170</v>
      </c>
      <c r="C81">
        <v>16262</v>
      </c>
      <c r="D81">
        <v>20589</v>
      </c>
      <c r="E81">
        <v>26391</v>
      </c>
      <c r="F81">
        <f t="shared" si="4"/>
        <v>5802</v>
      </c>
      <c r="G81" s="26">
        <f t="shared" si="5"/>
        <v>28.180096167856618</v>
      </c>
      <c r="H81">
        <v>12950</v>
      </c>
      <c r="I81">
        <v>13441</v>
      </c>
      <c r="J81">
        <v>8629</v>
      </c>
      <c r="K81">
        <v>17762</v>
      </c>
      <c r="L81">
        <v>1753</v>
      </c>
      <c r="M81">
        <v>1939</v>
      </c>
      <c r="N81">
        <v>1840</v>
      </c>
      <c r="O81">
        <v>1532</v>
      </c>
      <c r="P81">
        <v>1182</v>
      </c>
      <c r="Q81">
        <v>812</v>
      </c>
      <c r="R81">
        <v>784</v>
      </c>
      <c r="S81">
        <v>670</v>
      </c>
      <c r="T81">
        <v>594</v>
      </c>
      <c r="U81">
        <v>496</v>
      </c>
      <c r="V81">
        <v>362</v>
      </c>
      <c r="W81">
        <v>283</v>
      </c>
      <c r="X81">
        <v>220</v>
      </c>
      <c r="Y81">
        <v>476</v>
      </c>
      <c r="Z81">
        <v>7</v>
      </c>
      <c r="AA81">
        <v>1738</v>
      </c>
      <c r="AB81">
        <v>2039</v>
      </c>
      <c r="AC81">
        <v>1787</v>
      </c>
      <c r="AD81">
        <v>1576</v>
      </c>
      <c r="AE81">
        <v>1272</v>
      </c>
      <c r="AF81">
        <v>1034</v>
      </c>
      <c r="AG81">
        <v>854</v>
      </c>
      <c r="AH81">
        <v>771</v>
      </c>
      <c r="AI81">
        <v>564</v>
      </c>
      <c r="AJ81">
        <v>524</v>
      </c>
      <c r="AK81">
        <v>322</v>
      </c>
      <c r="AL81">
        <v>277</v>
      </c>
      <c r="AM81">
        <v>235</v>
      </c>
      <c r="AN81">
        <v>442</v>
      </c>
      <c r="AO81">
        <v>6</v>
      </c>
      <c r="AP81">
        <v>26343</v>
      </c>
      <c r="AQ81">
        <v>29</v>
      </c>
      <c r="AR81">
        <v>0</v>
      </c>
      <c r="AS81">
        <v>1</v>
      </c>
      <c r="AT81">
        <v>18</v>
      </c>
      <c r="AU81">
        <v>22342</v>
      </c>
      <c r="AV81">
        <v>11024</v>
      </c>
      <c r="AW81">
        <v>11318</v>
      </c>
      <c r="AX81">
        <v>11095</v>
      </c>
      <c r="AY81">
        <v>16716</v>
      </c>
      <c r="AZ81">
        <v>12016</v>
      </c>
      <c r="BA81">
        <v>4700</v>
      </c>
      <c r="BB81">
        <v>637</v>
      </c>
      <c r="BC81">
        <v>641</v>
      </c>
      <c r="BD81">
        <v>1766</v>
      </c>
      <c r="BE81">
        <v>1849</v>
      </c>
      <c r="BF81">
        <v>1691</v>
      </c>
      <c r="BG81">
        <v>1635</v>
      </c>
      <c r="BH81">
        <v>1422</v>
      </c>
      <c r="BI81">
        <v>1446</v>
      </c>
      <c r="BJ81">
        <v>1100</v>
      </c>
      <c r="BK81">
        <v>1155</v>
      </c>
      <c r="BL81">
        <v>762</v>
      </c>
      <c r="BM81">
        <v>948</v>
      </c>
      <c r="BN81">
        <v>728</v>
      </c>
      <c r="BO81">
        <v>769</v>
      </c>
      <c r="BP81">
        <v>615</v>
      </c>
      <c r="BQ81">
        <v>704</v>
      </c>
      <c r="BR81">
        <v>555</v>
      </c>
      <c r="BS81">
        <v>499</v>
      </c>
      <c r="BT81">
        <v>475</v>
      </c>
      <c r="BU81">
        <v>491</v>
      </c>
      <c r="BV81">
        <v>346</v>
      </c>
      <c r="BW81">
        <v>302</v>
      </c>
      <c r="BX81">
        <v>266</v>
      </c>
      <c r="BY81">
        <v>254</v>
      </c>
      <c r="BZ81">
        <v>213</v>
      </c>
      <c r="CA81">
        <v>213</v>
      </c>
      <c r="CB81">
        <v>448</v>
      </c>
      <c r="CC81">
        <v>412</v>
      </c>
      <c r="CD81">
        <v>6000</v>
      </c>
      <c r="CE81">
        <v>4170</v>
      </c>
      <c r="CF81">
        <v>4647</v>
      </c>
      <c r="CG81">
        <v>6795</v>
      </c>
      <c r="CH81">
        <v>4276</v>
      </c>
      <c r="CI81">
        <v>653</v>
      </c>
      <c r="CJ81">
        <v>23671</v>
      </c>
      <c r="CK81">
        <v>2597</v>
      </c>
      <c r="CL81">
        <v>211</v>
      </c>
      <c r="CM81">
        <v>497</v>
      </c>
      <c r="CN81">
        <v>644</v>
      </c>
      <c r="CO81">
        <v>747</v>
      </c>
      <c r="CP81">
        <v>732</v>
      </c>
      <c r="CQ81">
        <v>2098</v>
      </c>
      <c r="CR81">
        <v>4052</v>
      </c>
      <c r="CS81">
        <v>14446</v>
      </c>
      <c r="CT81">
        <v>1479</v>
      </c>
      <c r="CU81">
        <v>672</v>
      </c>
      <c r="CV81">
        <v>174</v>
      </c>
      <c r="CW81">
        <v>501</v>
      </c>
      <c r="CX81">
        <v>11</v>
      </c>
      <c r="CY81">
        <v>3555</v>
      </c>
      <c r="CZ81">
        <v>1157</v>
      </c>
      <c r="DA81">
        <v>3</v>
      </c>
      <c r="DB81">
        <v>211</v>
      </c>
      <c r="DC81">
        <v>2</v>
      </c>
      <c r="DD81">
        <v>2537</v>
      </c>
      <c r="DE81">
        <v>4697</v>
      </c>
      <c r="DF81">
        <v>7060</v>
      </c>
      <c r="DG81">
        <v>3468</v>
      </c>
      <c r="DH81">
        <v>0</v>
      </c>
      <c r="DI81">
        <v>8629</v>
      </c>
      <c r="DJ81">
        <v>0</v>
      </c>
      <c r="DK81">
        <v>0</v>
      </c>
      <c r="DL81">
        <v>0</v>
      </c>
      <c r="DM81">
        <v>68</v>
      </c>
      <c r="DN81">
        <v>30</v>
      </c>
      <c r="DO81">
        <v>19</v>
      </c>
      <c r="DP81">
        <v>3</v>
      </c>
      <c r="DQ81">
        <v>0</v>
      </c>
      <c r="DR81">
        <v>1</v>
      </c>
      <c r="DS81">
        <v>0</v>
      </c>
      <c r="DT81">
        <v>0</v>
      </c>
      <c r="DU81">
        <v>0</v>
      </c>
      <c r="DV81">
        <v>303</v>
      </c>
      <c r="DW81">
        <v>416</v>
      </c>
      <c r="DX81">
        <v>332</v>
      </c>
      <c r="DY81">
        <v>420</v>
      </c>
      <c r="DZ81">
        <v>257</v>
      </c>
      <c r="EA81">
        <v>254</v>
      </c>
      <c r="EB81">
        <v>151</v>
      </c>
      <c r="EC81">
        <v>146</v>
      </c>
      <c r="ED81">
        <v>124</v>
      </c>
      <c r="EE81">
        <v>142</v>
      </c>
      <c r="EF81">
        <v>138</v>
      </c>
      <c r="EG81">
        <v>143</v>
      </c>
      <c r="EH81">
        <v>48</v>
      </c>
      <c r="EI81">
        <v>50</v>
      </c>
      <c r="EJ81">
        <v>554</v>
      </c>
      <c r="EK81">
        <v>578</v>
      </c>
      <c r="EL81">
        <v>382</v>
      </c>
      <c r="EM81">
        <v>225</v>
      </c>
      <c r="EN81">
        <v>201</v>
      </c>
      <c r="EO81">
        <v>207</v>
      </c>
      <c r="EP81">
        <v>74</v>
      </c>
      <c r="EQ81">
        <v>6498</v>
      </c>
      <c r="ER81">
        <v>6277</v>
      </c>
      <c r="ES81">
        <v>221</v>
      </c>
      <c r="ET81">
        <v>1897</v>
      </c>
      <c r="EU81">
        <v>1217</v>
      </c>
      <c r="EV81">
        <v>1145</v>
      </c>
      <c r="EW81">
        <v>72</v>
      </c>
      <c r="EX81">
        <v>7655</v>
      </c>
      <c r="EY81" s="26">
        <v>77.298337000000004</v>
      </c>
      <c r="EZ81" s="26">
        <v>7.5718009999999998</v>
      </c>
      <c r="FA81" s="26">
        <v>6.4861890000000004</v>
      </c>
      <c r="FB81" s="26">
        <v>8.1901879999999991</v>
      </c>
      <c r="FC81" s="26">
        <v>0.453484</v>
      </c>
      <c r="FD81">
        <v>2077</v>
      </c>
      <c r="FE81">
        <v>3304</v>
      </c>
      <c r="FF81">
        <v>326</v>
      </c>
      <c r="FG81">
        <v>1272</v>
      </c>
      <c r="FH81">
        <v>0</v>
      </c>
      <c r="FI81">
        <v>644</v>
      </c>
      <c r="FJ81">
        <v>89</v>
      </c>
      <c r="FK81" s="26" t="s">
        <v>359</v>
      </c>
      <c r="FL81" s="26" t="s">
        <v>359</v>
      </c>
      <c r="FM81" s="26" t="s">
        <v>359</v>
      </c>
      <c r="FN81" s="26" t="s">
        <v>359</v>
      </c>
      <c r="FO81" s="28">
        <v>9286</v>
      </c>
      <c r="FP81" s="28">
        <v>3654</v>
      </c>
      <c r="FQ81">
        <v>344</v>
      </c>
      <c r="FR81">
        <v>50</v>
      </c>
      <c r="FS81">
        <v>2</v>
      </c>
      <c r="FT81">
        <v>3</v>
      </c>
      <c r="FU81">
        <v>8032</v>
      </c>
      <c r="FV81">
        <v>196</v>
      </c>
      <c r="FW81">
        <v>8</v>
      </c>
      <c r="FX81">
        <v>10</v>
      </c>
      <c r="FY81">
        <v>9830</v>
      </c>
      <c r="FZ81">
        <v>3606</v>
      </c>
      <c r="GA81">
        <v>349</v>
      </c>
      <c r="GB81">
        <v>39</v>
      </c>
      <c r="GC81">
        <v>2</v>
      </c>
      <c r="GD81">
        <v>7</v>
      </c>
      <c r="GE81">
        <v>8515</v>
      </c>
      <c r="GF81">
        <v>181</v>
      </c>
      <c r="GG81">
        <v>8</v>
      </c>
      <c r="GH81">
        <v>5</v>
      </c>
      <c r="GI81">
        <v>1064</v>
      </c>
      <c r="GJ81">
        <v>1411</v>
      </c>
      <c r="GK81">
        <v>1401</v>
      </c>
      <c r="GL81">
        <v>1140</v>
      </c>
      <c r="GM81">
        <v>834</v>
      </c>
      <c r="GN81">
        <v>594</v>
      </c>
      <c r="GO81">
        <v>575</v>
      </c>
      <c r="GP81">
        <v>487</v>
      </c>
      <c r="GQ81">
        <v>442</v>
      </c>
      <c r="GR81">
        <v>374</v>
      </c>
      <c r="GS81">
        <v>255</v>
      </c>
      <c r="GT81">
        <v>215</v>
      </c>
      <c r="GU81">
        <v>148</v>
      </c>
      <c r="GV81">
        <v>103</v>
      </c>
      <c r="GW81">
        <v>110</v>
      </c>
      <c r="GX81">
        <v>51</v>
      </c>
      <c r="GY81">
        <v>37</v>
      </c>
      <c r="GZ81">
        <v>41</v>
      </c>
      <c r="HA81">
        <v>1075</v>
      </c>
      <c r="HB81">
        <v>1471</v>
      </c>
      <c r="HC81">
        <v>1370</v>
      </c>
      <c r="HD81">
        <v>1132</v>
      </c>
      <c r="HE81">
        <v>908</v>
      </c>
      <c r="HF81">
        <v>768</v>
      </c>
      <c r="HG81">
        <v>662</v>
      </c>
      <c r="HH81">
        <v>613</v>
      </c>
      <c r="HI81">
        <v>443</v>
      </c>
      <c r="HJ81">
        <v>404</v>
      </c>
      <c r="HK81">
        <v>245</v>
      </c>
      <c r="HL81">
        <v>214</v>
      </c>
      <c r="HM81">
        <v>176</v>
      </c>
      <c r="HN81">
        <v>126</v>
      </c>
      <c r="HO81">
        <v>94</v>
      </c>
      <c r="HP81">
        <v>63</v>
      </c>
      <c r="HQ81">
        <v>34</v>
      </c>
      <c r="HR81">
        <v>31</v>
      </c>
      <c r="HS81">
        <v>4465</v>
      </c>
      <c r="HT81">
        <v>0</v>
      </c>
      <c r="HU81">
        <v>0</v>
      </c>
      <c r="HV81">
        <v>0</v>
      </c>
      <c r="HW81">
        <v>5</v>
      </c>
      <c r="HX81">
        <v>0</v>
      </c>
      <c r="HY81">
        <v>1</v>
      </c>
      <c r="HZ81">
        <v>14</v>
      </c>
      <c r="IA81">
        <v>210</v>
      </c>
      <c r="IB81">
        <v>496</v>
      </c>
      <c r="IC81">
        <v>642</v>
      </c>
      <c r="ID81">
        <v>747</v>
      </c>
      <c r="IE81">
        <v>732</v>
      </c>
      <c r="IF81">
        <v>631</v>
      </c>
      <c r="IG81">
        <v>475</v>
      </c>
      <c r="IH81">
        <v>376</v>
      </c>
      <c r="II81">
        <v>614</v>
      </c>
      <c r="IJ81">
        <v>362</v>
      </c>
      <c r="IK81">
        <v>2011</v>
      </c>
      <c r="IL81">
        <v>1491</v>
      </c>
      <c r="IM81">
        <v>670</v>
      </c>
      <c r="IN81">
        <v>237</v>
      </c>
      <c r="IO81">
        <v>82</v>
      </c>
      <c r="IP81">
        <v>29</v>
      </c>
      <c r="IQ81">
        <v>16</v>
      </c>
      <c r="IR81">
        <v>12</v>
      </c>
      <c r="IS81">
        <v>2460</v>
      </c>
      <c r="IT81">
        <v>1585</v>
      </c>
      <c r="IU81">
        <v>608</v>
      </c>
      <c r="IV81">
        <v>191</v>
      </c>
      <c r="IW81">
        <v>66</v>
      </c>
      <c r="IX81">
        <v>1532</v>
      </c>
      <c r="IY81">
        <v>1881</v>
      </c>
      <c r="IZ81">
        <v>14</v>
      </c>
      <c r="JA81">
        <v>20</v>
      </c>
      <c r="JB81">
        <v>0</v>
      </c>
      <c r="JC81">
        <v>167</v>
      </c>
      <c r="JD81">
        <v>3904</v>
      </c>
      <c r="JE81">
        <v>1007</v>
      </c>
      <c r="JF81">
        <v>12</v>
      </c>
      <c r="JH81" s="28">
        <v>3258.3031581011446</v>
      </c>
      <c r="JI81" s="28">
        <v>416.50234609534084</v>
      </c>
      <c r="JJ81">
        <v>1034</v>
      </c>
      <c r="JK81">
        <v>3803</v>
      </c>
      <c r="JL81">
        <v>74</v>
      </c>
      <c r="JM81">
        <v>12</v>
      </c>
      <c r="JN81">
        <v>953</v>
      </c>
      <c r="JO81">
        <v>206</v>
      </c>
      <c r="JP81">
        <v>186</v>
      </c>
      <c r="JQ81">
        <v>1432</v>
      </c>
      <c r="JR81">
        <v>2133</v>
      </c>
      <c r="JS81">
        <v>50</v>
      </c>
      <c r="JT81">
        <v>81</v>
      </c>
      <c r="JU81">
        <v>1731</v>
      </c>
      <c r="JV81">
        <v>27</v>
      </c>
      <c r="JW81" s="28"/>
      <c r="JX81" s="28"/>
      <c r="JY81" s="28"/>
      <c r="JZ81" s="28"/>
      <c r="KA81" s="28">
        <v>4766.0000162400001</v>
      </c>
      <c r="KB81">
        <v>24020</v>
      </c>
      <c r="KC81">
        <v>0</v>
      </c>
      <c r="KD81">
        <v>0</v>
      </c>
      <c r="KE81">
        <v>0</v>
      </c>
      <c r="KF81">
        <v>25</v>
      </c>
      <c r="KG81">
        <v>0</v>
      </c>
      <c r="KH81">
        <v>2</v>
      </c>
      <c r="KI81">
        <v>54</v>
      </c>
      <c r="KJ81">
        <v>5720</v>
      </c>
      <c r="KK81">
        <v>20150</v>
      </c>
      <c r="KL81">
        <v>344</v>
      </c>
      <c r="KM81">
        <v>27</v>
      </c>
      <c r="KT81">
        <v>3492</v>
      </c>
      <c r="KU81">
        <v>3269</v>
      </c>
      <c r="KV81">
        <v>3143</v>
      </c>
      <c r="KW81">
        <v>236</v>
      </c>
      <c r="KX81">
        <v>24</v>
      </c>
      <c r="KZ81">
        <v>2974</v>
      </c>
      <c r="LA81">
        <v>176</v>
      </c>
      <c r="LB81">
        <v>16</v>
      </c>
      <c r="LD81">
        <v>1918</v>
      </c>
      <c r="LE81">
        <v>1877</v>
      </c>
      <c r="LF81">
        <v>2049</v>
      </c>
      <c r="LG81">
        <v>3454</v>
      </c>
      <c r="LH81">
        <v>15282</v>
      </c>
      <c r="LI81">
        <v>32</v>
      </c>
      <c r="LJ81">
        <v>1690</v>
      </c>
      <c r="LK81">
        <v>342</v>
      </c>
      <c r="LL81">
        <v>1323</v>
      </c>
      <c r="LM81">
        <v>3</v>
      </c>
      <c r="LN81">
        <v>564</v>
      </c>
      <c r="LO81">
        <v>46</v>
      </c>
      <c r="LP81">
        <v>26</v>
      </c>
      <c r="LQ81">
        <v>1674</v>
      </c>
      <c r="LR81">
        <v>232</v>
      </c>
      <c r="LS81">
        <v>957</v>
      </c>
      <c r="LT81">
        <v>3</v>
      </c>
      <c r="LU81">
        <v>394</v>
      </c>
      <c r="LV81">
        <v>24</v>
      </c>
      <c r="LW81" s="44"/>
      <c r="LX81" s="44"/>
      <c r="LY81" s="44"/>
      <c r="LZ81">
        <v>4923</v>
      </c>
      <c r="MA81">
        <v>26241</v>
      </c>
      <c r="MB81">
        <v>22011</v>
      </c>
      <c r="MC81">
        <v>18532</v>
      </c>
      <c r="MD81" s="26">
        <v>36.009684999999998</v>
      </c>
      <c r="ME81" s="26">
        <v>27.348673999999999</v>
      </c>
      <c r="MF81" s="26">
        <v>74.774243999999996</v>
      </c>
      <c r="MG81" s="26">
        <v>27.509377999999998</v>
      </c>
      <c r="MH81" s="26">
        <v>21.003453</v>
      </c>
      <c r="MI81" s="26">
        <v>7.0485479999999994</v>
      </c>
      <c r="MJ81" s="26">
        <v>9.6892139999999998</v>
      </c>
      <c r="MK81" s="26">
        <v>20.455006999999998</v>
      </c>
      <c r="ML81" s="26">
        <v>3.1891119999999997</v>
      </c>
      <c r="MM81" s="26">
        <v>95.815559999999991</v>
      </c>
      <c r="MN81" s="26">
        <v>80.641885000000002</v>
      </c>
      <c r="MO81" s="26">
        <v>2.4912709999999998</v>
      </c>
      <c r="MP81" t="s">
        <v>1030</v>
      </c>
      <c r="MQ81">
        <v>55</v>
      </c>
      <c r="MR81">
        <v>8</v>
      </c>
    </row>
    <row r="82" spans="1:356">
      <c r="A82" t="s">
        <v>171</v>
      </c>
      <c r="B82" t="s">
        <v>172</v>
      </c>
      <c r="C82">
        <v>8566</v>
      </c>
      <c r="D82">
        <v>10870</v>
      </c>
      <c r="E82">
        <v>12266</v>
      </c>
      <c r="F82">
        <f t="shared" si="4"/>
        <v>1396</v>
      </c>
      <c r="G82" s="26">
        <f t="shared" si="5"/>
        <v>12.842686292548294</v>
      </c>
      <c r="H82">
        <v>6054</v>
      </c>
      <c r="I82">
        <v>6212</v>
      </c>
      <c r="J82">
        <v>0</v>
      </c>
      <c r="K82">
        <v>12266</v>
      </c>
      <c r="L82">
        <v>698</v>
      </c>
      <c r="M82">
        <v>727</v>
      </c>
      <c r="N82">
        <v>751</v>
      </c>
      <c r="O82">
        <v>664</v>
      </c>
      <c r="P82">
        <v>523</v>
      </c>
      <c r="Q82">
        <v>427</v>
      </c>
      <c r="R82">
        <v>395</v>
      </c>
      <c r="S82">
        <v>378</v>
      </c>
      <c r="T82">
        <v>328</v>
      </c>
      <c r="U82">
        <v>271</v>
      </c>
      <c r="V82">
        <v>205</v>
      </c>
      <c r="W82">
        <v>173</v>
      </c>
      <c r="X82">
        <v>142</v>
      </c>
      <c r="Y82">
        <v>372</v>
      </c>
      <c r="Z82">
        <v>0</v>
      </c>
      <c r="AA82">
        <v>695</v>
      </c>
      <c r="AB82">
        <v>708</v>
      </c>
      <c r="AC82">
        <v>740</v>
      </c>
      <c r="AD82">
        <v>663</v>
      </c>
      <c r="AE82">
        <v>537</v>
      </c>
      <c r="AF82">
        <v>458</v>
      </c>
      <c r="AG82">
        <v>449</v>
      </c>
      <c r="AH82">
        <v>404</v>
      </c>
      <c r="AI82">
        <v>333</v>
      </c>
      <c r="AJ82">
        <v>317</v>
      </c>
      <c r="AK82">
        <v>214</v>
      </c>
      <c r="AL82">
        <v>178</v>
      </c>
      <c r="AM82">
        <v>153</v>
      </c>
      <c r="AN82">
        <v>363</v>
      </c>
      <c r="AO82">
        <v>0</v>
      </c>
      <c r="AP82">
        <v>12054</v>
      </c>
      <c r="AQ82">
        <v>206</v>
      </c>
      <c r="AR82">
        <v>2</v>
      </c>
      <c r="AS82">
        <v>1</v>
      </c>
      <c r="AT82">
        <v>3</v>
      </c>
      <c r="AU82">
        <v>4274</v>
      </c>
      <c r="AV82">
        <v>2112</v>
      </c>
      <c r="AW82">
        <v>2162</v>
      </c>
      <c r="AX82">
        <v>3799</v>
      </c>
      <c r="AY82">
        <v>4548</v>
      </c>
      <c r="AZ82">
        <v>4548</v>
      </c>
      <c r="BA82">
        <v>0</v>
      </c>
      <c r="BB82">
        <v>26</v>
      </c>
      <c r="BC82">
        <v>13</v>
      </c>
      <c r="BD82">
        <v>109</v>
      </c>
      <c r="BE82">
        <v>117</v>
      </c>
      <c r="BF82">
        <v>185</v>
      </c>
      <c r="BG82">
        <v>179</v>
      </c>
      <c r="BH82">
        <v>206</v>
      </c>
      <c r="BI82">
        <v>187</v>
      </c>
      <c r="BJ82">
        <v>197</v>
      </c>
      <c r="BK82">
        <v>175</v>
      </c>
      <c r="BL82">
        <v>172</v>
      </c>
      <c r="BM82">
        <v>187</v>
      </c>
      <c r="BN82">
        <v>189</v>
      </c>
      <c r="BO82">
        <v>192</v>
      </c>
      <c r="BP82">
        <v>190</v>
      </c>
      <c r="BQ82">
        <v>202</v>
      </c>
      <c r="BR82">
        <v>163</v>
      </c>
      <c r="BS82">
        <v>175</v>
      </c>
      <c r="BT82">
        <v>143</v>
      </c>
      <c r="BU82">
        <v>168</v>
      </c>
      <c r="BV82">
        <v>111</v>
      </c>
      <c r="BW82">
        <v>129</v>
      </c>
      <c r="BX82">
        <v>101</v>
      </c>
      <c r="BY82">
        <v>95</v>
      </c>
      <c r="BZ82">
        <v>87</v>
      </c>
      <c r="CA82">
        <v>107</v>
      </c>
      <c r="CB82">
        <v>233</v>
      </c>
      <c r="CC82">
        <v>236</v>
      </c>
      <c r="CD82">
        <v>2091</v>
      </c>
      <c r="CE82">
        <v>2113</v>
      </c>
      <c r="CF82">
        <v>18</v>
      </c>
      <c r="CG82">
        <v>41</v>
      </c>
      <c r="CH82">
        <v>2297</v>
      </c>
      <c r="CI82">
        <v>639</v>
      </c>
      <c r="CJ82">
        <v>10059</v>
      </c>
      <c r="CK82">
        <v>2128</v>
      </c>
      <c r="CL82">
        <v>215</v>
      </c>
      <c r="CM82">
        <v>430</v>
      </c>
      <c r="CN82">
        <v>587</v>
      </c>
      <c r="CO82">
        <v>598</v>
      </c>
      <c r="CP82">
        <v>440</v>
      </c>
      <c r="CQ82">
        <v>666</v>
      </c>
      <c r="CR82">
        <v>2260</v>
      </c>
      <c r="CS82">
        <v>5905</v>
      </c>
      <c r="CT82">
        <v>569</v>
      </c>
      <c r="CU82">
        <v>232</v>
      </c>
      <c r="CV82">
        <v>104</v>
      </c>
      <c r="CW82">
        <v>174</v>
      </c>
      <c r="CX82">
        <v>7</v>
      </c>
      <c r="CY82">
        <v>2175</v>
      </c>
      <c r="CZ82">
        <v>540</v>
      </c>
      <c r="DA82">
        <v>5</v>
      </c>
      <c r="DB82">
        <v>215</v>
      </c>
      <c r="DC82">
        <v>1</v>
      </c>
      <c r="DD82">
        <v>775</v>
      </c>
      <c r="DE82">
        <v>1256</v>
      </c>
      <c r="DF82">
        <v>2781</v>
      </c>
      <c r="DG82">
        <v>7454</v>
      </c>
      <c r="DH82">
        <v>0</v>
      </c>
      <c r="DI82">
        <v>0</v>
      </c>
      <c r="DJ82">
        <v>0</v>
      </c>
      <c r="DK82">
        <v>0</v>
      </c>
      <c r="DL82">
        <v>0</v>
      </c>
      <c r="DM82">
        <v>22</v>
      </c>
      <c r="DN82">
        <v>8</v>
      </c>
      <c r="DO82">
        <v>8</v>
      </c>
      <c r="DP82">
        <v>9</v>
      </c>
      <c r="DQ82">
        <v>0</v>
      </c>
      <c r="DR82">
        <v>0</v>
      </c>
      <c r="DS82">
        <v>0</v>
      </c>
      <c r="DT82">
        <v>0</v>
      </c>
      <c r="DU82">
        <v>0</v>
      </c>
      <c r="DV82">
        <v>264</v>
      </c>
      <c r="DW82">
        <v>315</v>
      </c>
      <c r="DX82">
        <v>497</v>
      </c>
      <c r="DY82">
        <v>576</v>
      </c>
      <c r="DZ82">
        <v>250</v>
      </c>
      <c r="EA82">
        <v>266</v>
      </c>
      <c r="EB82">
        <v>102</v>
      </c>
      <c r="EC82">
        <v>100</v>
      </c>
      <c r="ED82">
        <v>81</v>
      </c>
      <c r="EE82">
        <v>83</v>
      </c>
      <c r="EF82">
        <v>110</v>
      </c>
      <c r="EG82">
        <v>157</v>
      </c>
      <c r="EH82">
        <v>108</v>
      </c>
      <c r="EI82">
        <v>78</v>
      </c>
      <c r="EJ82">
        <v>462</v>
      </c>
      <c r="EK82">
        <v>851</v>
      </c>
      <c r="EL82">
        <v>413</v>
      </c>
      <c r="EM82">
        <v>163</v>
      </c>
      <c r="EN82">
        <v>124</v>
      </c>
      <c r="EO82">
        <v>216</v>
      </c>
      <c r="EP82">
        <v>149</v>
      </c>
      <c r="EQ82">
        <v>3412</v>
      </c>
      <c r="ER82">
        <v>3312</v>
      </c>
      <c r="ES82">
        <v>100</v>
      </c>
      <c r="ET82">
        <v>910</v>
      </c>
      <c r="EU82">
        <v>2060</v>
      </c>
      <c r="EV82">
        <v>2046</v>
      </c>
      <c r="EW82">
        <v>14</v>
      </c>
      <c r="EX82">
        <v>2441</v>
      </c>
      <c r="EY82" s="26">
        <v>69.919863000000007</v>
      </c>
      <c r="EZ82" s="26">
        <v>8.5575279999999996</v>
      </c>
      <c r="FA82" s="26">
        <v>9.30166</v>
      </c>
      <c r="FB82" s="26">
        <v>12.020607</v>
      </c>
      <c r="FC82" s="26">
        <v>0.20034299999999999</v>
      </c>
      <c r="FD82">
        <v>1015</v>
      </c>
      <c r="FE82">
        <v>1702</v>
      </c>
      <c r="FF82">
        <v>333</v>
      </c>
      <c r="FG82">
        <v>1378</v>
      </c>
      <c r="FH82">
        <v>0</v>
      </c>
      <c r="FI82">
        <v>784</v>
      </c>
      <c r="FJ82">
        <v>256</v>
      </c>
      <c r="FK82" s="26" t="s">
        <v>359</v>
      </c>
      <c r="FL82" s="26" t="s">
        <v>359</v>
      </c>
      <c r="FM82" s="26" t="s">
        <v>359</v>
      </c>
      <c r="FN82" s="26" t="s">
        <v>359</v>
      </c>
      <c r="FO82" s="28">
        <v>4739</v>
      </c>
      <c r="FP82" s="28">
        <v>1315</v>
      </c>
      <c r="FQ82">
        <v>285</v>
      </c>
      <c r="FR82">
        <v>50</v>
      </c>
      <c r="FS82">
        <v>9</v>
      </c>
      <c r="FT82">
        <v>3</v>
      </c>
      <c r="FU82">
        <v>4460</v>
      </c>
      <c r="FV82">
        <v>4</v>
      </c>
      <c r="FW82">
        <v>33</v>
      </c>
      <c r="FX82">
        <v>0</v>
      </c>
      <c r="FY82">
        <v>5156</v>
      </c>
      <c r="FZ82">
        <v>1053</v>
      </c>
      <c r="GA82">
        <v>232</v>
      </c>
      <c r="GB82">
        <v>45</v>
      </c>
      <c r="GC82">
        <v>6</v>
      </c>
      <c r="GD82">
        <v>1</v>
      </c>
      <c r="GE82">
        <v>4970</v>
      </c>
      <c r="GF82">
        <v>1</v>
      </c>
      <c r="GG82">
        <v>28</v>
      </c>
      <c r="GH82">
        <v>3</v>
      </c>
      <c r="GI82">
        <v>467</v>
      </c>
      <c r="GJ82">
        <v>630</v>
      </c>
      <c r="GK82">
        <v>651</v>
      </c>
      <c r="GL82">
        <v>547</v>
      </c>
      <c r="GM82">
        <v>356</v>
      </c>
      <c r="GN82">
        <v>311</v>
      </c>
      <c r="GO82">
        <v>306</v>
      </c>
      <c r="GP82">
        <v>299</v>
      </c>
      <c r="GQ82">
        <v>271</v>
      </c>
      <c r="GR82">
        <v>211</v>
      </c>
      <c r="GS82">
        <v>157</v>
      </c>
      <c r="GT82">
        <v>136</v>
      </c>
      <c r="GU82">
        <v>112</v>
      </c>
      <c r="GV82">
        <v>106</v>
      </c>
      <c r="GW82">
        <v>70</v>
      </c>
      <c r="GX82">
        <v>54</v>
      </c>
      <c r="GY82">
        <v>25</v>
      </c>
      <c r="GZ82">
        <v>30</v>
      </c>
      <c r="HA82">
        <v>464</v>
      </c>
      <c r="HB82">
        <v>622</v>
      </c>
      <c r="HC82">
        <v>662</v>
      </c>
      <c r="HD82">
        <v>519</v>
      </c>
      <c r="HE82">
        <v>427</v>
      </c>
      <c r="HF82">
        <v>371</v>
      </c>
      <c r="HG82">
        <v>376</v>
      </c>
      <c r="HH82">
        <v>359</v>
      </c>
      <c r="HI82">
        <v>293</v>
      </c>
      <c r="HJ82">
        <v>279</v>
      </c>
      <c r="HK82">
        <v>183</v>
      </c>
      <c r="HL82">
        <v>157</v>
      </c>
      <c r="HM82">
        <v>131</v>
      </c>
      <c r="HN82">
        <v>104</v>
      </c>
      <c r="HO82">
        <v>83</v>
      </c>
      <c r="HP82">
        <v>51</v>
      </c>
      <c r="HQ82">
        <v>33</v>
      </c>
      <c r="HR82">
        <v>42</v>
      </c>
      <c r="HS82">
        <v>2641</v>
      </c>
      <c r="HT82">
        <v>2</v>
      </c>
      <c r="HU82">
        <v>0</v>
      </c>
      <c r="HV82">
        <v>0</v>
      </c>
      <c r="HW82">
        <v>5</v>
      </c>
      <c r="HX82">
        <v>0</v>
      </c>
      <c r="HY82">
        <v>1</v>
      </c>
      <c r="HZ82">
        <v>0</v>
      </c>
      <c r="IA82">
        <v>215</v>
      </c>
      <c r="IB82">
        <v>427</v>
      </c>
      <c r="IC82">
        <v>585</v>
      </c>
      <c r="ID82">
        <v>598</v>
      </c>
      <c r="IE82">
        <v>440</v>
      </c>
      <c r="IF82">
        <v>286</v>
      </c>
      <c r="IG82">
        <v>175</v>
      </c>
      <c r="IH82">
        <v>102</v>
      </c>
      <c r="II82">
        <v>102</v>
      </c>
      <c r="IJ82">
        <v>477</v>
      </c>
      <c r="IK82">
        <v>1029</v>
      </c>
      <c r="IL82">
        <v>836</v>
      </c>
      <c r="IM82">
        <v>418</v>
      </c>
      <c r="IN82">
        <v>130</v>
      </c>
      <c r="IO82">
        <v>28</v>
      </c>
      <c r="IP82">
        <v>10</v>
      </c>
      <c r="IQ82">
        <v>1</v>
      </c>
      <c r="IR82">
        <v>1</v>
      </c>
      <c r="IS82">
        <v>1659</v>
      </c>
      <c r="IT82">
        <v>945</v>
      </c>
      <c r="IU82">
        <v>277</v>
      </c>
      <c r="IV82">
        <v>40</v>
      </c>
      <c r="IW82">
        <v>9</v>
      </c>
      <c r="IX82">
        <v>1311</v>
      </c>
      <c r="IY82">
        <v>965</v>
      </c>
      <c r="IZ82">
        <v>4</v>
      </c>
      <c r="JA82">
        <v>10</v>
      </c>
      <c r="JB82">
        <v>0</v>
      </c>
      <c r="JC82">
        <v>73</v>
      </c>
      <c r="JD82">
        <v>2823</v>
      </c>
      <c r="JE82">
        <v>107</v>
      </c>
      <c r="JF82">
        <v>0</v>
      </c>
      <c r="JH82" s="28">
        <v>2235.5807111893528</v>
      </c>
      <c r="JI82" s="28">
        <v>119.93038378593451</v>
      </c>
      <c r="JJ82">
        <v>700</v>
      </c>
      <c r="JK82">
        <v>2113</v>
      </c>
      <c r="JL82">
        <v>117</v>
      </c>
      <c r="JM82">
        <v>0</v>
      </c>
      <c r="JN82">
        <v>971</v>
      </c>
      <c r="JO82">
        <v>423</v>
      </c>
      <c r="JP82">
        <v>164</v>
      </c>
      <c r="JQ82">
        <v>1256</v>
      </c>
      <c r="JR82">
        <v>2072</v>
      </c>
      <c r="JS82">
        <v>131</v>
      </c>
      <c r="JT82">
        <v>20</v>
      </c>
      <c r="JU82">
        <v>1443</v>
      </c>
      <c r="JV82">
        <v>192</v>
      </c>
      <c r="JW82" s="28"/>
      <c r="JX82" s="28"/>
      <c r="JY82" s="28"/>
      <c r="JZ82" s="28"/>
      <c r="KA82" s="28">
        <v>2902.9999914</v>
      </c>
      <c r="KB82">
        <v>10975</v>
      </c>
      <c r="KC82">
        <v>8</v>
      </c>
      <c r="KD82">
        <v>0</v>
      </c>
      <c r="KE82">
        <v>0</v>
      </c>
      <c r="KF82">
        <v>17</v>
      </c>
      <c r="KG82">
        <v>0</v>
      </c>
      <c r="KH82">
        <v>2</v>
      </c>
      <c r="KI82">
        <v>0</v>
      </c>
      <c r="KJ82">
        <v>2936</v>
      </c>
      <c r="KK82">
        <v>8768</v>
      </c>
      <c r="KL82">
        <v>464</v>
      </c>
      <c r="KM82">
        <v>0</v>
      </c>
      <c r="KT82">
        <v>2014</v>
      </c>
      <c r="KU82">
        <v>1976</v>
      </c>
      <c r="KV82">
        <v>1671</v>
      </c>
      <c r="KW82">
        <v>204</v>
      </c>
      <c r="KX82">
        <v>61</v>
      </c>
      <c r="KZ82">
        <v>1614</v>
      </c>
      <c r="LA82">
        <v>220</v>
      </c>
      <c r="LB82">
        <v>56</v>
      </c>
      <c r="LD82">
        <v>1146</v>
      </c>
      <c r="LE82">
        <v>1135</v>
      </c>
      <c r="LF82">
        <v>710</v>
      </c>
      <c r="LG82">
        <v>1073</v>
      </c>
      <c r="LH82">
        <v>7947</v>
      </c>
      <c r="LI82">
        <v>14</v>
      </c>
      <c r="LJ82">
        <v>570</v>
      </c>
      <c r="LK82">
        <v>187</v>
      </c>
      <c r="LL82">
        <v>952</v>
      </c>
      <c r="LM82">
        <v>0</v>
      </c>
      <c r="LN82">
        <v>407</v>
      </c>
      <c r="LO82">
        <v>109</v>
      </c>
      <c r="LP82">
        <v>13</v>
      </c>
      <c r="LQ82">
        <v>523</v>
      </c>
      <c r="LR82">
        <v>156</v>
      </c>
      <c r="LS82">
        <v>1112</v>
      </c>
      <c r="LT82">
        <v>1</v>
      </c>
      <c r="LU82">
        <v>443</v>
      </c>
      <c r="LV82">
        <v>68</v>
      </c>
      <c r="LW82" s="44"/>
      <c r="LX82" s="44"/>
      <c r="LY82" s="44"/>
      <c r="LZ82">
        <v>2930</v>
      </c>
      <c r="MA82">
        <v>12168</v>
      </c>
      <c r="MB82">
        <v>12136</v>
      </c>
      <c r="MC82">
        <v>4893</v>
      </c>
      <c r="MD82" s="26">
        <v>22.436139000000001</v>
      </c>
      <c r="ME82" s="26">
        <v>6.7796609999999999</v>
      </c>
      <c r="MF82" s="26">
        <v>52.799799</v>
      </c>
      <c r="MG82" s="26">
        <v>19.305396999999999</v>
      </c>
      <c r="MH82" s="26">
        <v>23.890784999999997</v>
      </c>
      <c r="MI82" s="26">
        <v>3.959044</v>
      </c>
      <c r="MJ82" s="26">
        <v>1.228669</v>
      </c>
      <c r="MK82" s="26">
        <v>3.6518769999999998</v>
      </c>
      <c r="ML82" s="26">
        <v>0.92150199999999993</v>
      </c>
      <c r="MM82" s="26">
        <v>85.56313999999999</v>
      </c>
      <c r="MN82" s="26">
        <v>66.860067999999998</v>
      </c>
      <c r="MO82" s="26">
        <v>1.13541</v>
      </c>
      <c r="MP82" t="s">
        <v>1028</v>
      </c>
      <c r="MQ82">
        <v>325</v>
      </c>
      <c r="MR82">
        <v>36</v>
      </c>
    </row>
    <row r="83" spans="1:356">
      <c r="A83" t="s">
        <v>173</v>
      </c>
      <c r="B83" t="s">
        <v>174</v>
      </c>
      <c r="C83">
        <v>29357</v>
      </c>
      <c r="D83">
        <v>29813</v>
      </c>
      <c r="E83">
        <v>31919</v>
      </c>
      <c r="F83">
        <f t="shared" si="4"/>
        <v>2106</v>
      </c>
      <c r="G83" s="26">
        <f t="shared" si="5"/>
        <v>7.0640324690571106</v>
      </c>
      <c r="H83">
        <v>15652</v>
      </c>
      <c r="I83">
        <v>16267</v>
      </c>
      <c r="J83">
        <v>15244</v>
      </c>
      <c r="K83">
        <v>16675</v>
      </c>
      <c r="L83">
        <v>1431</v>
      </c>
      <c r="M83">
        <v>1573</v>
      </c>
      <c r="N83">
        <v>1554</v>
      </c>
      <c r="O83">
        <v>1439</v>
      </c>
      <c r="P83">
        <v>1200</v>
      </c>
      <c r="Q83">
        <v>1136</v>
      </c>
      <c r="R83">
        <v>1059</v>
      </c>
      <c r="S83">
        <v>1040</v>
      </c>
      <c r="T83">
        <v>1020</v>
      </c>
      <c r="U83">
        <v>846</v>
      </c>
      <c r="V83">
        <v>811</v>
      </c>
      <c r="W83">
        <v>663</v>
      </c>
      <c r="X83">
        <v>573</v>
      </c>
      <c r="Y83">
        <v>1300</v>
      </c>
      <c r="Z83">
        <v>7</v>
      </c>
      <c r="AA83">
        <v>1425</v>
      </c>
      <c r="AB83">
        <v>1506</v>
      </c>
      <c r="AC83">
        <v>1497</v>
      </c>
      <c r="AD83">
        <v>1367</v>
      </c>
      <c r="AE83">
        <v>1243</v>
      </c>
      <c r="AF83">
        <v>1360</v>
      </c>
      <c r="AG83">
        <v>1315</v>
      </c>
      <c r="AH83">
        <v>1236</v>
      </c>
      <c r="AI83">
        <v>1044</v>
      </c>
      <c r="AJ83">
        <v>964</v>
      </c>
      <c r="AK83">
        <v>852</v>
      </c>
      <c r="AL83">
        <v>690</v>
      </c>
      <c r="AM83">
        <v>524</v>
      </c>
      <c r="AN83">
        <v>1236</v>
      </c>
      <c r="AO83">
        <v>8</v>
      </c>
      <c r="AP83">
        <v>29255</v>
      </c>
      <c r="AQ83">
        <v>2607</v>
      </c>
      <c r="AR83">
        <v>11</v>
      </c>
      <c r="AS83">
        <v>16</v>
      </c>
      <c r="AT83">
        <v>30</v>
      </c>
      <c r="AU83">
        <v>574</v>
      </c>
      <c r="AV83">
        <v>292</v>
      </c>
      <c r="AW83">
        <v>282</v>
      </c>
      <c r="AX83">
        <v>482</v>
      </c>
      <c r="AY83">
        <v>316</v>
      </c>
      <c r="AZ83">
        <v>225</v>
      </c>
      <c r="BA83">
        <v>91</v>
      </c>
      <c r="BB83">
        <v>0</v>
      </c>
      <c r="BC83">
        <v>2</v>
      </c>
      <c r="BD83">
        <v>7</v>
      </c>
      <c r="BE83">
        <v>3</v>
      </c>
      <c r="BF83">
        <v>6</v>
      </c>
      <c r="BG83">
        <v>4</v>
      </c>
      <c r="BH83">
        <v>21</v>
      </c>
      <c r="BI83">
        <v>22</v>
      </c>
      <c r="BJ83">
        <v>15</v>
      </c>
      <c r="BK83">
        <v>32</v>
      </c>
      <c r="BL83">
        <v>19</v>
      </c>
      <c r="BM83">
        <v>36</v>
      </c>
      <c r="BN83">
        <v>25</v>
      </c>
      <c r="BO83">
        <v>32</v>
      </c>
      <c r="BP83">
        <v>26</v>
      </c>
      <c r="BQ83">
        <v>23</v>
      </c>
      <c r="BR83">
        <v>25</v>
      </c>
      <c r="BS83">
        <v>20</v>
      </c>
      <c r="BT83">
        <v>22</v>
      </c>
      <c r="BU83">
        <v>20</v>
      </c>
      <c r="BV83">
        <v>23</v>
      </c>
      <c r="BW83">
        <v>29</v>
      </c>
      <c r="BX83">
        <v>28</v>
      </c>
      <c r="BY83">
        <v>18</v>
      </c>
      <c r="BZ83">
        <v>20</v>
      </c>
      <c r="CA83">
        <v>15</v>
      </c>
      <c r="CB83">
        <v>55</v>
      </c>
      <c r="CC83">
        <v>26</v>
      </c>
      <c r="CD83">
        <v>290</v>
      </c>
      <c r="CE83">
        <v>280</v>
      </c>
      <c r="CF83">
        <v>1</v>
      </c>
      <c r="CG83">
        <v>2</v>
      </c>
      <c r="CH83">
        <v>6070</v>
      </c>
      <c r="CI83">
        <v>2530</v>
      </c>
      <c r="CJ83">
        <v>23183</v>
      </c>
      <c r="CK83">
        <v>8663</v>
      </c>
      <c r="CL83">
        <v>957</v>
      </c>
      <c r="CM83">
        <v>1456</v>
      </c>
      <c r="CN83">
        <v>1780</v>
      </c>
      <c r="CO83">
        <v>1924</v>
      </c>
      <c r="CP83">
        <v>1241</v>
      </c>
      <c r="CQ83">
        <v>1242</v>
      </c>
      <c r="CR83">
        <v>5704</v>
      </c>
      <c r="CS83">
        <v>12598</v>
      </c>
      <c r="CT83">
        <v>2550</v>
      </c>
      <c r="CU83">
        <v>760</v>
      </c>
      <c r="CV83">
        <v>408</v>
      </c>
      <c r="CW83">
        <v>1013</v>
      </c>
      <c r="CX83">
        <v>200</v>
      </c>
      <c r="CY83">
        <v>5214</v>
      </c>
      <c r="CZ83">
        <v>2288</v>
      </c>
      <c r="DA83">
        <v>97</v>
      </c>
      <c r="DB83">
        <v>957</v>
      </c>
      <c r="DC83">
        <v>39</v>
      </c>
      <c r="DD83">
        <v>836</v>
      </c>
      <c r="DE83">
        <v>3019</v>
      </c>
      <c r="DF83">
        <v>3278</v>
      </c>
      <c r="DG83">
        <v>9542</v>
      </c>
      <c r="DH83">
        <v>0</v>
      </c>
      <c r="DI83">
        <v>0</v>
      </c>
      <c r="DJ83">
        <v>15244</v>
      </c>
      <c r="DK83">
        <v>0</v>
      </c>
      <c r="DL83">
        <v>0</v>
      </c>
      <c r="DM83">
        <v>35</v>
      </c>
      <c r="DN83">
        <v>19</v>
      </c>
      <c r="DO83">
        <v>10</v>
      </c>
      <c r="DP83">
        <v>12</v>
      </c>
      <c r="DQ83">
        <v>0</v>
      </c>
      <c r="DR83">
        <v>0</v>
      </c>
      <c r="DS83">
        <v>1</v>
      </c>
      <c r="DT83">
        <v>0</v>
      </c>
      <c r="DU83">
        <v>0</v>
      </c>
      <c r="DV83">
        <v>823</v>
      </c>
      <c r="DW83">
        <v>908</v>
      </c>
      <c r="DX83">
        <v>1498</v>
      </c>
      <c r="DY83">
        <v>1656</v>
      </c>
      <c r="DZ83">
        <v>611</v>
      </c>
      <c r="EA83">
        <v>496</v>
      </c>
      <c r="EB83">
        <v>284</v>
      </c>
      <c r="EC83">
        <v>234</v>
      </c>
      <c r="ED83">
        <v>217</v>
      </c>
      <c r="EE83">
        <v>235</v>
      </c>
      <c r="EF83">
        <v>390</v>
      </c>
      <c r="EG83">
        <v>409</v>
      </c>
      <c r="EH83">
        <v>205</v>
      </c>
      <c r="EI83">
        <v>196</v>
      </c>
      <c r="EJ83">
        <v>944</v>
      </c>
      <c r="EK83">
        <v>1823</v>
      </c>
      <c r="EL83">
        <v>582</v>
      </c>
      <c r="EM83">
        <v>278</v>
      </c>
      <c r="EN83">
        <v>245</v>
      </c>
      <c r="EO83">
        <v>430</v>
      </c>
      <c r="EP83">
        <v>206</v>
      </c>
      <c r="EQ83">
        <v>9407</v>
      </c>
      <c r="ER83">
        <v>9220</v>
      </c>
      <c r="ES83">
        <v>187</v>
      </c>
      <c r="ET83">
        <v>2556</v>
      </c>
      <c r="EU83">
        <v>5924</v>
      </c>
      <c r="EV83">
        <v>5868</v>
      </c>
      <c r="EW83">
        <v>56</v>
      </c>
      <c r="EX83">
        <v>6782</v>
      </c>
      <c r="EY83" s="26">
        <v>37.624436000000003</v>
      </c>
      <c r="EZ83" s="26">
        <v>10.303751999999999</v>
      </c>
      <c r="FA83" s="26">
        <v>16.438355999999999</v>
      </c>
      <c r="FB83" s="26">
        <v>35.310133999999998</v>
      </c>
      <c r="FC83" s="26">
        <v>0.323322</v>
      </c>
      <c r="FD83">
        <v>1705</v>
      </c>
      <c r="FE83">
        <v>3744</v>
      </c>
      <c r="FF83">
        <v>532</v>
      </c>
      <c r="FG83">
        <v>2861</v>
      </c>
      <c r="FH83">
        <v>22</v>
      </c>
      <c r="FI83">
        <v>3350</v>
      </c>
      <c r="FJ83">
        <v>3103</v>
      </c>
      <c r="FK83" s="26" t="s">
        <v>359</v>
      </c>
      <c r="FL83" s="26" t="s">
        <v>359</v>
      </c>
      <c r="FM83" s="26" t="s">
        <v>359</v>
      </c>
      <c r="FN83" s="26" t="s">
        <v>359</v>
      </c>
      <c r="FO83" s="28">
        <v>8194</v>
      </c>
      <c r="FP83" s="28">
        <v>7447</v>
      </c>
      <c r="FQ83">
        <v>1562</v>
      </c>
      <c r="FR83">
        <v>775</v>
      </c>
      <c r="FS83">
        <v>181</v>
      </c>
      <c r="FT83">
        <v>62</v>
      </c>
      <c r="FU83">
        <v>5479</v>
      </c>
      <c r="FV83">
        <v>34</v>
      </c>
      <c r="FW83">
        <v>68</v>
      </c>
      <c r="FX83">
        <v>11</v>
      </c>
      <c r="FY83">
        <v>9148</v>
      </c>
      <c r="FZ83">
        <v>7107</v>
      </c>
      <c r="GA83">
        <v>1619</v>
      </c>
      <c r="GB83">
        <v>929</v>
      </c>
      <c r="GC83">
        <v>233</v>
      </c>
      <c r="GD83">
        <v>54</v>
      </c>
      <c r="GE83">
        <v>6172</v>
      </c>
      <c r="GF83">
        <v>27</v>
      </c>
      <c r="GG83">
        <v>77</v>
      </c>
      <c r="GH83">
        <v>12</v>
      </c>
      <c r="GI83">
        <v>770</v>
      </c>
      <c r="GJ83">
        <v>925</v>
      </c>
      <c r="GK83">
        <v>845</v>
      </c>
      <c r="GL83">
        <v>762</v>
      </c>
      <c r="GM83">
        <v>596</v>
      </c>
      <c r="GN83">
        <v>557</v>
      </c>
      <c r="GO83">
        <v>534</v>
      </c>
      <c r="GP83">
        <v>524</v>
      </c>
      <c r="GQ83">
        <v>527</v>
      </c>
      <c r="GR83">
        <v>444</v>
      </c>
      <c r="GS83">
        <v>395</v>
      </c>
      <c r="GT83">
        <v>335</v>
      </c>
      <c r="GU83">
        <v>309</v>
      </c>
      <c r="GV83">
        <v>241</v>
      </c>
      <c r="GW83">
        <v>151</v>
      </c>
      <c r="GX83">
        <v>117</v>
      </c>
      <c r="GY83">
        <v>85</v>
      </c>
      <c r="GZ83">
        <v>77</v>
      </c>
      <c r="HA83">
        <v>735</v>
      </c>
      <c r="HB83">
        <v>871</v>
      </c>
      <c r="HC83">
        <v>835</v>
      </c>
      <c r="HD83">
        <v>775</v>
      </c>
      <c r="HE83">
        <v>672</v>
      </c>
      <c r="HF83">
        <v>746</v>
      </c>
      <c r="HG83">
        <v>756</v>
      </c>
      <c r="HH83">
        <v>716</v>
      </c>
      <c r="HI83">
        <v>608</v>
      </c>
      <c r="HJ83">
        <v>568</v>
      </c>
      <c r="HK83">
        <v>493</v>
      </c>
      <c r="HL83">
        <v>388</v>
      </c>
      <c r="HM83">
        <v>305</v>
      </c>
      <c r="HN83">
        <v>236</v>
      </c>
      <c r="HO83">
        <v>175</v>
      </c>
      <c r="HP83">
        <v>102</v>
      </c>
      <c r="HQ83">
        <v>78</v>
      </c>
      <c r="HR83">
        <v>89</v>
      </c>
      <c r="HS83">
        <v>6361</v>
      </c>
      <c r="HT83">
        <v>30</v>
      </c>
      <c r="HU83">
        <v>173</v>
      </c>
      <c r="HV83">
        <v>0</v>
      </c>
      <c r="HW83">
        <v>15</v>
      </c>
      <c r="HX83">
        <v>0</v>
      </c>
      <c r="HY83">
        <v>4</v>
      </c>
      <c r="HZ83">
        <v>2</v>
      </c>
      <c r="IA83">
        <v>950</v>
      </c>
      <c r="IB83">
        <v>1456</v>
      </c>
      <c r="IC83">
        <v>1777</v>
      </c>
      <c r="ID83">
        <v>1918</v>
      </c>
      <c r="IE83">
        <v>1241</v>
      </c>
      <c r="IF83">
        <v>621</v>
      </c>
      <c r="IG83">
        <v>311</v>
      </c>
      <c r="IH83">
        <v>143</v>
      </c>
      <c r="II83">
        <v>164</v>
      </c>
      <c r="IJ83">
        <v>1371</v>
      </c>
      <c r="IK83">
        <v>1436</v>
      </c>
      <c r="IL83">
        <v>2302</v>
      </c>
      <c r="IM83">
        <v>2018</v>
      </c>
      <c r="IN83">
        <v>1002</v>
      </c>
      <c r="IO83">
        <v>289</v>
      </c>
      <c r="IP83">
        <v>86</v>
      </c>
      <c r="IQ83">
        <v>41</v>
      </c>
      <c r="IR83">
        <v>34</v>
      </c>
      <c r="IS83">
        <v>4104</v>
      </c>
      <c r="IT83">
        <v>3171</v>
      </c>
      <c r="IU83">
        <v>1067</v>
      </c>
      <c r="IV83">
        <v>192</v>
      </c>
      <c r="IW83">
        <v>45</v>
      </c>
      <c r="IX83">
        <v>5407</v>
      </c>
      <c r="IY83">
        <v>671</v>
      </c>
      <c r="IZ83">
        <v>3</v>
      </c>
      <c r="JA83">
        <v>71</v>
      </c>
      <c r="JB83">
        <v>1</v>
      </c>
      <c r="JC83">
        <v>680</v>
      </c>
      <c r="JD83">
        <v>8345</v>
      </c>
      <c r="JE83">
        <v>234</v>
      </c>
      <c r="JF83">
        <v>2</v>
      </c>
      <c r="JH83" s="28">
        <v>6681.7243487210735</v>
      </c>
      <c r="JI83" s="28">
        <v>468.96574621458467</v>
      </c>
      <c r="JJ83">
        <v>579</v>
      </c>
      <c r="JK83">
        <v>6760</v>
      </c>
      <c r="JL83">
        <v>1240</v>
      </c>
      <c r="JM83">
        <v>2</v>
      </c>
      <c r="JN83">
        <v>6694</v>
      </c>
      <c r="JO83">
        <v>4274</v>
      </c>
      <c r="JP83">
        <v>1490</v>
      </c>
      <c r="JQ83">
        <v>3704</v>
      </c>
      <c r="JR83">
        <v>6945</v>
      </c>
      <c r="JS83">
        <v>1339</v>
      </c>
      <c r="JT83">
        <v>739</v>
      </c>
      <c r="JU83">
        <v>6588</v>
      </c>
      <c r="JV83">
        <v>2098</v>
      </c>
      <c r="JW83" s="28"/>
      <c r="JX83" s="28"/>
      <c r="JY83" s="28"/>
      <c r="JZ83" s="28"/>
      <c r="KA83" s="28">
        <v>8464.0000386299998</v>
      </c>
      <c r="KB83">
        <v>24261</v>
      </c>
      <c r="KC83">
        <v>82</v>
      </c>
      <c r="KD83">
        <v>496</v>
      </c>
      <c r="KE83">
        <v>0</v>
      </c>
      <c r="KF83">
        <v>53</v>
      </c>
      <c r="KG83">
        <v>0</v>
      </c>
      <c r="KH83">
        <v>10</v>
      </c>
      <c r="KI83">
        <v>4</v>
      </c>
      <c r="KJ83">
        <v>2214</v>
      </c>
      <c r="KK83">
        <v>25382</v>
      </c>
      <c r="KL83">
        <v>4181</v>
      </c>
      <c r="KM83">
        <v>6</v>
      </c>
      <c r="KT83">
        <v>4615</v>
      </c>
      <c r="KU83">
        <v>4459</v>
      </c>
      <c r="KV83">
        <v>3575</v>
      </c>
      <c r="KW83">
        <v>640</v>
      </c>
      <c r="KX83">
        <v>298</v>
      </c>
      <c r="KZ83">
        <v>3392</v>
      </c>
      <c r="LA83">
        <v>665</v>
      </c>
      <c r="LB83">
        <v>294</v>
      </c>
      <c r="LD83">
        <v>2433</v>
      </c>
      <c r="LE83">
        <v>2371</v>
      </c>
      <c r="LF83">
        <v>1077</v>
      </c>
      <c r="LG83">
        <v>1489</v>
      </c>
      <c r="LH83">
        <v>22918</v>
      </c>
      <c r="LI83">
        <v>21</v>
      </c>
      <c r="LJ83">
        <v>1379</v>
      </c>
      <c r="LK83">
        <v>361</v>
      </c>
      <c r="LL83">
        <v>2006</v>
      </c>
      <c r="LM83">
        <v>9</v>
      </c>
      <c r="LN83">
        <v>1960</v>
      </c>
      <c r="LO83">
        <v>1195</v>
      </c>
      <c r="LP83">
        <v>16</v>
      </c>
      <c r="LQ83">
        <v>1417</v>
      </c>
      <c r="LR83">
        <v>268</v>
      </c>
      <c r="LS83">
        <v>2408</v>
      </c>
      <c r="LT83">
        <v>24</v>
      </c>
      <c r="LU83">
        <v>2005</v>
      </c>
      <c r="LV83">
        <v>1236</v>
      </c>
      <c r="LW83" s="44"/>
      <c r="LX83" s="44"/>
      <c r="LY83" s="44"/>
      <c r="LZ83">
        <v>8581</v>
      </c>
      <c r="MA83">
        <v>31783</v>
      </c>
      <c r="MB83">
        <v>31107</v>
      </c>
      <c r="MC83">
        <v>394</v>
      </c>
      <c r="MD83" s="26">
        <v>11.196439</v>
      </c>
      <c r="ME83" s="26">
        <v>7.2013089999999993</v>
      </c>
      <c r="MF83" s="26">
        <v>39.946767000000001</v>
      </c>
      <c r="MG83" s="26">
        <v>45.596666999999997</v>
      </c>
      <c r="MH83" s="26">
        <v>6.747465</v>
      </c>
      <c r="MI83" s="26">
        <v>2.5288429999999997</v>
      </c>
      <c r="MJ83" s="26">
        <v>8.2857479999999999</v>
      </c>
      <c r="MK83" s="26">
        <v>2.7269549999999998</v>
      </c>
      <c r="ML83" s="26">
        <v>1.3634769999999998</v>
      </c>
      <c r="MM83" s="26">
        <v>50.192284999999998</v>
      </c>
      <c r="MN83" s="26">
        <v>21.990444</v>
      </c>
      <c r="MO83" s="26">
        <v>-0.22197499999999998</v>
      </c>
      <c r="MP83" t="s">
        <v>1027</v>
      </c>
      <c r="MQ83">
        <v>1244</v>
      </c>
      <c r="MR83">
        <v>111</v>
      </c>
    </row>
    <row r="84" spans="1:356">
      <c r="A84" t="s">
        <v>175</v>
      </c>
      <c r="B84" t="s">
        <v>176</v>
      </c>
      <c r="C84">
        <v>46949</v>
      </c>
      <c r="D84">
        <v>50079</v>
      </c>
      <c r="E84">
        <v>51193</v>
      </c>
      <c r="F84">
        <f t="shared" si="4"/>
        <v>1114</v>
      </c>
      <c r="G84" s="26">
        <f t="shared" si="5"/>
        <v>2.2244853132051361</v>
      </c>
      <c r="H84">
        <v>25111</v>
      </c>
      <c r="I84">
        <v>26082</v>
      </c>
      <c r="J84">
        <v>18219</v>
      </c>
      <c r="K84">
        <v>32974</v>
      </c>
      <c r="L84">
        <v>2171</v>
      </c>
      <c r="M84">
        <v>2610</v>
      </c>
      <c r="N84">
        <v>2608</v>
      </c>
      <c r="O84">
        <v>2094</v>
      </c>
      <c r="P84">
        <v>1648</v>
      </c>
      <c r="Q84">
        <v>1609</v>
      </c>
      <c r="R84">
        <v>1532</v>
      </c>
      <c r="S84">
        <v>1543</v>
      </c>
      <c r="T84">
        <v>1599</v>
      </c>
      <c r="U84">
        <v>1480</v>
      </c>
      <c r="V84">
        <v>1459</v>
      </c>
      <c r="W84">
        <v>1160</v>
      </c>
      <c r="X84">
        <v>1022</v>
      </c>
      <c r="Y84">
        <v>2574</v>
      </c>
      <c r="Z84">
        <v>2</v>
      </c>
      <c r="AA84">
        <v>2133</v>
      </c>
      <c r="AB84">
        <v>2546</v>
      </c>
      <c r="AC84">
        <v>2450</v>
      </c>
      <c r="AD84">
        <v>2149</v>
      </c>
      <c r="AE84">
        <v>1802</v>
      </c>
      <c r="AF84">
        <v>2014</v>
      </c>
      <c r="AG84">
        <v>1840</v>
      </c>
      <c r="AH84">
        <v>1852</v>
      </c>
      <c r="AI84">
        <v>1685</v>
      </c>
      <c r="AJ84">
        <v>1588</v>
      </c>
      <c r="AK84">
        <v>1491</v>
      </c>
      <c r="AL84">
        <v>1187</v>
      </c>
      <c r="AM84">
        <v>1002</v>
      </c>
      <c r="AN84">
        <v>2341</v>
      </c>
      <c r="AO84">
        <v>2</v>
      </c>
      <c r="AP84">
        <v>48662</v>
      </c>
      <c r="AQ84">
        <v>2132</v>
      </c>
      <c r="AR84">
        <v>182</v>
      </c>
      <c r="AS84">
        <v>201</v>
      </c>
      <c r="AT84">
        <v>16</v>
      </c>
      <c r="AU84">
        <v>401</v>
      </c>
      <c r="AV84">
        <v>231</v>
      </c>
      <c r="AW84">
        <v>170</v>
      </c>
      <c r="AX84">
        <v>523</v>
      </c>
      <c r="AY84">
        <v>338</v>
      </c>
      <c r="AZ84">
        <v>288</v>
      </c>
      <c r="BA84">
        <v>50</v>
      </c>
      <c r="BB84">
        <v>10</v>
      </c>
      <c r="BC84">
        <v>2</v>
      </c>
      <c r="BD84">
        <v>18</v>
      </c>
      <c r="BE84">
        <v>14</v>
      </c>
      <c r="BF84">
        <v>20</v>
      </c>
      <c r="BG84">
        <v>11</v>
      </c>
      <c r="BH84">
        <v>15</v>
      </c>
      <c r="BI84">
        <v>14</v>
      </c>
      <c r="BJ84">
        <v>14</v>
      </c>
      <c r="BK84">
        <v>19</v>
      </c>
      <c r="BL84">
        <v>19</v>
      </c>
      <c r="BM84">
        <v>15</v>
      </c>
      <c r="BN84">
        <v>19</v>
      </c>
      <c r="BO84">
        <v>13</v>
      </c>
      <c r="BP84">
        <v>8</v>
      </c>
      <c r="BQ84">
        <v>17</v>
      </c>
      <c r="BR84">
        <v>18</v>
      </c>
      <c r="BS84">
        <v>7</v>
      </c>
      <c r="BT84">
        <v>11</v>
      </c>
      <c r="BU84">
        <v>17</v>
      </c>
      <c r="BV84">
        <v>14</v>
      </c>
      <c r="BW84">
        <v>10</v>
      </c>
      <c r="BX84">
        <v>9</v>
      </c>
      <c r="BY84">
        <v>5</v>
      </c>
      <c r="BZ84">
        <v>17</v>
      </c>
      <c r="CA84">
        <v>8</v>
      </c>
      <c r="CB84">
        <v>39</v>
      </c>
      <c r="CC84">
        <v>18</v>
      </c>
      <c r="CD84">
        <v>215</v>
      </c>
      <c r="CE84">
        <v>147</v>
      </c>
      <c r="CF84">
        <v>14</v>
      </c>
      <c r="CG84">
        <v>23</v>
      </c>
      <c r="CH84">
        <v>10251</v>
      </c>
      <c r="CI84">
        <v>4684</v>
      </c>
      <c r="CJ84">
        <v>36224</v>
      </c>
      <c r="CK84">
        <v>14948</v>
      </c>
      <c r="CL84">
        <v>1974</v>
      </c>
      <c r="CM84">
        <v>3142</v>
      </c>
      <c r="CN84">
        <v>3164</v>
      </c>
      <c r="CO84">
        <v>3049</v>
      </c>
      <c r="CP84">
        <v>1921</v>
      </c>
      <c r="CQ84">
        <v>1685</v>
      </c>
      <c r="CR84">
        <v>9817</v>
      </c>
      <c r="CS84">
        <v>18344</v>
      </c>
      <c r="CT84">
        <v>4492</v>
      </c>
      <c r="CU84">
        <v>1116</v>
      </c>
      <c r="CV84">
        <v>608</v>
      </c>
      <c r="CW84">
        <v>1615</v>
      </c>
      <c r="CX84">
        <v>242</v>
      </c>
      <c r="CY84">
        <v>8883</v>
      </c>
      <c r="CZ84">
        <v>3903</v>
      </c>
      <c r="DA84">
        <v>139</v>
      </c>
      <c r="DB84">
        <v>1974</v>
      </c>
      <c r="DC84">
        <v>34</v>
      </c>
      <c r="DD84">
        <v>6734</v>
      </c>
      <c r="DE84">
        <v>3694</v>
      </c>
      <c r="DF84">
        <v>6987</v>
      </c>
      <c r="DG84">
        <v>15559</v>
      </c>
      <c r="DH84">
        <v>0</v>
      </c>
      <c r="DI84">
        <v>0</v>
      </c>
      <c r="DJ84">
        <v>18219</v>
      </c>
      <c r="DK84">
        <v>0</v>
      </c>
      <c r="DL84">
        <v>0</v>
      </c>
      <c r="DM84">
        <v>761</v>
      </c>
      <c r="DN84">
        <v>22</v>
      </c>
      <c r="DO84">
        <v>21</v>
      </c>
      <c r="DP84">
        <v>15</v>
      </c>
      <c r="DQ84">
        <v>0</v>
      </c>
      <c r="DR84">
        <v>0</v>
      </c>
      <c r="DS84">
        <v>1</v>
      </c>
      <c r="DT84">
        <v>0</v>
      </c>
      <c r="DU84">
        <v>0</v>
      </c>
      <c r="DV84">
        <v>1779</v>
      </c>
      <c r="DW84">
        <v>2008</v>
      </c>
      <c r="DX84">
        <v>2408</v>
      </c>
      <c r="DY84">
        <v>2716</v>
      </c>
      <c r="DZ84">
        <v>997</v>
      </c>
      <c r="EA84">
        <v>822</v>
      </c>
      <c r="EB84">
        <v>632</v>
      </c>
      <c r="EC84">
        <v>507</v>
      </c>
      <c r="ED84">
        <v>513</v>
      </c>
      <c r="EE84">
        <v>531</v>
      </c>
      <c r="EF84">
        <v>787</v>
      </c>
      <c r="EG84">
        <v>855</v>
      </c>
      <c r="EH84">
        <v>340</v>
      </c>
      <c r="EI84">
        <v>312</v>
      </c>
      <c r="EJ84">
        <v>2504</v>
      </c>
      <c r="EK84">
        <v>3517</v>
      </c>
      <c r="EL84">
        <v>1195</v>
      </c>
      <c r="EM84">
        <v>676</v>
      </c>
      <c r="EN84">
        <v>663</v>
      </c>
      <c r="EO84">
        <v>1115</v>
      </c>
      <c r="EP84">
        <v>434</v>
      </c>
      <c r="EQ84">
        <v>15472</v>
      </c>
      <c r="ER84">
        <v>15370</v>
      </c>
      <c r="ES84">
        <v>102</v>
      </c>
      <c r="ET84">
        <v>3596</v>
      </c>
      <c r="EU84">
        <v>9733</v>
      </c>
      <c r="EV84">
        <v>9698</v>
      </c>
      <c r="EW84">
        <v>35</v>
      </c>
      <c r="EX84">
        <v>10572</v>
      </c>
      <c r="EY84" s="26">
        <v>31.800087999999999</v>
      </c>
      <c r="EZ84" s="26">
        <v>14.216915</v>
      </c>
      <c r="FA84" s="26">
        <v>18.295739000000001</v>
      </c>
      <c r="FB84" s="26">
        <v>35.475945000000003</v>
      </c>
      <c r="FC84" s="26">
        <v>0.211313</v>
      </c>
      <c r="FD84">
        <v>2489</v>
      </c>
      <c r="FE84">
        <v>8571</v>
      </c>
      <c r="FF84">
        <v>1304</v>
      </c>
      <c r="FG84">
        <v>5248</v>
      </c>
      <c r="FH84">
        <v>27</v>
      </c>
      <c r="FI84">
        <v>4751</v>
      </c>
      <c r="FJ84">
        <v>2803</v>
      </c>
      <c r="FK84" s="26" t="s">
        <v>359</v>
      </c>
      <c r="FL84" s="26" t="s">
        <v>359</v>
      </c>
      <c r="FM84" s="26" t="s">
        <v>359</v>
      </c>
      <c r="FN84" s="26" t="s">
        <v>359</v>
      </c>
      <c r="FO84" s="28">
        <v>15114</v>
      </c>
      <c r="FP84" s="28">
        <v>9973</v>
      </c>
      <c r="FQ84">
        <v>2317</v>
      </c>
      <c r="FR84">
        <v>470</v>
      </c>
      <c r="FS84">
        <v>250</v>
      </c>
      <c r="FT84">
        <v>67</v>
      </c>
      <c r="FU84">
        <v>11768</v>
      </c>
      <c r="FV84">
        <v>98</v>
      </c>
      <c r="FW84">
        <v>108</v>
      </c>
      <c r="FX84">
        <v>24</v>
      </c>
      <c r="FY84">
        <v>17240</v>
      </c>
      <c r="FZ84">
        <v>8824</v>
      </c>
      <c r="GA84">
        <v>2516</v>
      </c>
      <c r="GB84">
        <v>604</v>
      </c>
      <c r="GC84">
        <v>341</v>
      </c>
      <c r="GD84">
        <v>69</v>
      </c>
      <c r="GE84">
        <v>13459</v>
      </c>
      <c r="GF84">
        <v>116</v>
      </c>
      <c r="GG84">
        <v>104</v>
      </c>
      <c r="GH84">
        <v>18</v>
      </c>
      <c r="GI84">
        <v>1217</v>
      </c>
      <c r="GJ84">
        <v>1682</v>
      </c>
      <c r="GK84">
        <v>1731</v>
      </c>
      <c r="GL84">
        <v>1393</v>
      </c>
      <c r="GM84">
        <v>853</v>
      </c>
      <c r="GN84">
        <v>866</v>
      </c>
      <c r="GO84">
        <v>869</v>
      </c>
      <c r="GP84">
        <v>922</v>
      </c>
      <c r="GQ84">
        <v>958</v>
      </c>
      <c r="GR84">
        <v>848</v>
      </c>
      <c r="GS84">
        <v>864</v>
      </c>
      <c r="GT84">
        <v>669</v>
      </c>
      <c r="GU84">
        <v>619</v>
      </c>
      <c r="GV84">
        <v>500</v>
      </c>
      <c r="GW84">
        <v>432</v>
      </c>
      <c r="GX84">
        <v>326</v>
      </c>
      <c r="GY84">
        <v>189</v>
      </c>
      <c r="GZ84">
        <v>176</v>
      </c>
      <c r="HA84">
        <v>1214</v>
      </c>
      <c r="HB84">
        <v>1666</v>
      </c>
      <c r="HC84">
        <v>1641</v>
      </c>
      <c r="HD84">
        <v>1467</v>
      </c>
      <c r="HE84">
        <v>1138</v>
      </c>
      <c r="HF84">
        <v>1325</v>
      </c>
      <c r="HG84">
        <v>1196</v>
      </c>
      <c r="HH84">
        <v>1294</v>
      </c>
      <c r="HI84">
        <v>1137</v>
      </c>
      <c r="HJ84">
        <v>1097</v>
      </c>
      <c r="HK84">
        <v>981</v>
      </c>
      <c r="HL84">
        <v>808</v>
      </c>
      <c r="HM84">
        <v>667</v>
      </c>
      <c r="HN84">
        <v>535</v>
      </c>
      <c r="HO84">
        <v>406</v>
      </c>
      <c r="HP84">
        <v>326</v>
      </c>
      <c r="HQ84">
        <v>183</v>
      </c>
      <c r="HR84">
        <v>159</v>
      </c>
      <c r="HS84">
        <v>12330</v>
      </c>
      <c r="HT84">
        <v>0</v>
      </c>
      <c r="HU84">
        <v>87</v>
      </c>
      <c r="HV84">
        <v>0</v>
      </c>
      <c r="HW84">
        <v>40</v>
      </c>
      <c r="HX84">
        <v>1</v>
      </c>
      <c r="HY84">
        <v>8</v>
      </c>
      <c r="HZ84">
        <v>6</v>
      </c>
      <c r="IA84">
        <v>1960</v>
      </c>
      <c r="IB84">
        <v>3131</v>
      </c>
      <c r="IC84">
        <v>3157</v>
      </c>
      <c r="ID84">
        <v>3039</v>
      </c>
      <c r="IE84">
        <v>1919</v>
      </c>
      <c r="IF84">
        <v>896</v>
      </c>
      <c r="IG84">
        <v>409</v>
      </c>
      <c r="IH84">
        <v>195</v>
      </c>
      <c r="II84">
        <v>180</v>
      </c>
      <c r="IJ84">
        <v>2579</v>
      </c>
      <c r="IK84">
        <v>3923</v>
      </c>
      <c r="IL84">
        <v>4279</v>
      </c>
      <c r="IM84">
        <v>2635</v>
      </c>
      <c r="IN84">
        <v>1055</v>
      </c>
      <c r="IO84">
        <v>300</v>
      </c>
      <c r="IP84">
        <v>77</v>
      </c>
      <c r="IQ84">
        <v>16</v>
      </c>
      <c r="IR84">
        <v>20</v>
      </c>
      <c r="IS84">
        <v>6901</v>
      </c>
      <c r="IT84">
        <v>5704</v>
      </c>
      <c r="IU84">
        <v>1899</v>
      </c>
      <c r="IV84">
        <v>340</v>
      </c>
      <c r="IW84">
        <v>39</v>
      </c>
      <c r="IX84">
        <v>4663</v>
      </c>
      <c r="IY84">
        <v>1903</v>
      </c>
      <c r="IZ84">
        <v>28</v>
      </c>
      <c r="JA84">
        <v>406</v>
      </c>
      <c r="JB84">
        <v>15</v>
      </c>
      <c r="JC84">
        <v>365</v>
      </c>
      <c r="JD84">
        <v>14390</v>
      </c>
      <c r="JE84">
        <v>494</v>
      </c>
      <c r="JF84">
        <v>2</v>
      </c>
      <c r="JH84" s="28">
        <v>12083.121676648669</v>
      </c>
      <c r="JI84" s="28">
        <v>676.44793655215358</v>
      </c>
      <c r="JJ84">
        <v>877</v>
      </c>
      <c r="JK84">
        <v>12823</v>
      </c>
      <c r="JL84">
        <v>1184</v>
      </c>
      <c r="JM84">
        <v>2</v>
      </c>
      <c r="JN84">
        <v>12319</v>
      </c>
      <c r="JO84">
        <v>9276</v>
      </c>
      <c r="JP84">
        <v>2618</v>
      </c>
      <c r="JQ84">
        <v>8076</v>
      </c>
      <c r="JR84">
        <v>12206</v>
      </c>
      <c r="JS84">
        <v>1334</v>
      </c>
      <c r="JT84">
        <v>1421</v>
      </c>
      <c r="JU84">
        <v>11013</v>
      </c>
      <c r="JV84">
        <v>1991</v>
      </c>
      <c r="JW84" s="28"/>
      <c r="JX84" s="28"/>
      <c r="JY84" s="28"/>
      <c r="JZ84" s="28"/>
      <c r="KA84" s="28">
        <v>14718.000027780001</v>
      </c>
      <c r="KB84">
        <v>42690</v>
      </c>
      <c r="KC84">
        <v>0</v>
      </c>
      <c r="KD84">
        <v>228</v>
      </c>
      <c r="KE84">
        <v>0</v>
      </c>
      <c r="KF84">
        <v>121</v>
      </c>
      <c r="KG84">
        <v>3</v>
      </c>
      <c r="KH84">
        <v>22</v>
      </c>
      <c r="KI84">
        <v>18</v>
      </c>
      <c r="KJ84">
        <v>3050</v>
      </c>
      <c r="KK84">
        <v>44024</v>
      </c>
      <c r="KL84">
        <v>3950</v>
      </c>
      <c r="KM84">
        <v>2</v>
      </c>
      <c r="KT84">
        <v>7013</v>
      </c>
      <c r="KU84">
        <v>6920</v>
      </c>
      <c r="KV84">
        <v>5754</v>
      </c>
      <c r="KW84">
        <v>880</v>
      </c>
      <c r="KX84">
        <v>242</v>
      </c>
      <c r="KZ84">
        <v>5568</v>
      </c>
      <c r="LA84">
        <v>878</v>
      </c>
      <c r="LB84">
        <v>319</v>
      </c>
      <c r="LD84">
        <v>3933</v>
      </c>
      <c r="LE84">
        <v>3898</v>
      </c>
      <c r="LF84">
        <v>2010</v>
      </c>
      <c r="LG84">
        <v>2505</v>
      </c>
      <c r="LH84">
        <v>36671</v>
      </c>
      <c r="LI84">
        <v>56</v>
      </c>
      <c r="LJ84">
        <v>2640</v>
      </c>
      <c r="LK84">
        <v>763</v>
      </c>
      <c r="LL84">
        <v>3427</v>
      </c>
      <c r="LM84">
        <v>19</v>
      </c>
      <c r="LN84">
        <v>2454</v>
      </c>
      <c r="LO84">
        <v>1166</v>
      </c>
      <c r="LP84">
        <v>75</v>
      </c>
      <c r="LQ84">
        <v>2791</v>
      </c>
      <c r="LR84">
        <v>692</v>
      </c>
      <c r="LS84">
        <v>4126</v>
      </c>
      <c r="LT84">
        <v>13</v>
      </c>
      <c r="LU84">
        <v>2528</v>
      </c>
      <c r="LV84">
        <v>1118</v>
      </c>
      <c r="LW84" s="44"/>
      <c r="LX84" s="44"/>
      <c r="LY84" s="44"/>
      <c r="LZ84">
        <v>14886</v>
      </c>
      <c r="MA84">
        <v>51026</v>
      </c>
      <c r="MB84">
        <v>53525</v>
      </c>
      <c r="MC84">
        <v>203</v>
      </c>
      <c r="MD84" s="26">
        <v>12.312180999999999</v>
      </c>
      <c r="ME84" s="26">
        <v>6.5586249999999993</v>
      </c>
      <c r="MF84" s="26">
        <v>49.614136999999999</v>
      </c>
      <c r="MG84" s="26">
        <v>36.717911000000001</v>
      </c>
      <c r="MH84" s="26">
        <v>5.8914419999999996</v>
      </c>
      <c r="MI84" s="26">
        <v>3.211071</v>
      </c>
      <c r="MJ84" s="26">
        <v>22.450624999999999</v>
      </c>
      <c r="MK84" s="26">
        <v>3.3185539999999998</v>
      </c>
      <c r="ML84" s="26">
        <v>1.1285769999999999</v>
      </c>
      <c r="MM84" s="26">
        <v>37.686416999999999</v>
      </c>
      <c r="MN84" s="26">
        <v>17.244391</v>
      </c>
      <c r="MO84" s="26">
        <v>-4.8160999999999995E-2</v>
      </c>
      <c r="MP84" t="s">
        <v>1027</v>
      </c>
      <c r="MQ84">
        <v>1065</v>
      </c>
      <c r="MR84">
        <v>97</v>
      </c>
    </row>
    <row r="85" spans="1:356">
      <c r="A85" t="s">
        <v>181</v>
      </c>
      <c r="B85" t="s">
        <v>182</v>
      </c>
      <c r="C85">
        <v>24405</v>
      </c>
      <c r="D85">
        <v>31075</v>
      </c>
      <c r="E85">
        <v>29636</v>
      </c>
      <c r="F85">
        <f t="shared" si="4"/>
        <v>-1439</v>
      </c>
      <c r="G85" s="26">
        <f t="shared" si="5"/>
        <v>-4.6307320997586459</v>
      </c>
      <c r="H85">
        <v>14432</v>
      </c>
      <c r="I85">
        <v>15204</v>
      </c>
      <c r="J85">
        <v>12805</v>
      </c>
      <c r="K85">
        <v>16831</v>
      </c>
      <c r="L85">
        <v>1995</v>
      </c>
      <c r="M85">
        <v>1884</v>
      </c>
      <c r="N85">
        <v>1828</v>
      </c>
      <c r="O85">
        <v>1630</v>
      </c>
      <c r="P85">
        <v>1400</v>
      </c>
      <c r="Q85">
        <v>1045</v>
      </c>
      <c r="R85">
        <v>922</v>
      </c>
      <c r="S85">
        <v>857</v>
      </c>
      <c r="T85">
        <v>671</v>
      </c>
      <c r="U85">
        <v>533</v>
      </c>
      <c r="V85">
        <v>427</v>
      </c>
      <c r="W85">
        <v>317</v>
      </c>
      <c r="X85">
        <v>270</v>
      </c>
      <c r="Y85">
        <v>637</v>
      </c>
      <c r="Z85">
        <v>16</v>
      </c>
      <c r="AA85">
        <v>1947</v>
      </c>
      <c r="AB85">
        <v>1925</v>
      </c>
      <c r="AC85">
        <v>1827</v>
      </c>
      <c r="AD85">
        <v>1692</v>
      </c>
      <c r="AE85">
        <v>1486</v>
      </c>
      <c r="AF85">
        <v>1172</v>
      </c>
      <c r="AG85">
        <v>1037</v>
      </c>
      <c r="AH85">
        <v>963</v>
      </c>
      <c r="AI85">
        <v>777</v>
      </c>
      <c r="AJ85">
        <v>619</v>
      </c>
      <c r="AK85">
        <v>454</v>
      </c>
      <c r="AL85">
        <v>366</v>
      </c>
      <c r="AM85">
        <v>273</v>
      </c>
      <c r="AN85">
        <v>650</v>
      </c>
      <c r="AO85">
        <v>16</v>
      </c>
      <c r="AP85">
        <v>28866</v>
      </c>
      <c r="AQ85">
        <v>690</v>
      </c>
      <c r="AR85">
        <v>7</v>
      </c>
      <c r="AS85">
        <v>33</v>
      </c>
      <c r="AT85">
        <v>40</v>
      </c>
      <c r="AU85">
        <v>8878</v>
      </c>
      <c r="AV85">
        <v>4342</v>
      </c>
      <c r="AW85">
        <v>4536</v>
      </c>
      <c r="AX85">
        <v>9702</v>
      </c>
      <c r="AY85">
        <v>13620</v>
      </c>
      <c r="AZ85">
        <v>7742</v>
      </c>
      <c r="BA85">
        <v>5878</v>
      </c>
      <c r="BB85">
        <v>238</v>
      </c>
      <c r="BC85">
        <v>234</v>
      </c>
      <c r="BD85">
        <v>595</v>
      </c>
      <c r="BE85">
        <v>622</v>
      </c>
      <c r="BF85">
        <v>607</v>
      </c>
      <c r="BG85">
        <v>599</v>
      </c>
      <c r="BH85">
        <v>464</v>
      </c>
      <c r="BI85">
        <v>535</v>
      </c>
      <c r="BJ85">
        <v>486</v>
      </c>
      <c r="BK85">
        <v>431</v>
      </c>
      <c r="BL85">
        <v>343</v>
      </c>
      <c r="BM85">
        <v>368</v>
      </c>
      <c r="BN85">
        <v>320</v>
      </c>
      <c r="BO85">
        <v>346</v>
      </c>
      <c r="BP85">
        <v>279</v>
      </c>
      <c r="BQ85">
        <v>323</v>
      </c>
      <c r="BR85">
        <v>231</v>
      </c>
      <c r="BS85">
        <v>261</v>
      </c>
      <c r="BT85">
        <v>190</v>
      </c>
      <c r="BU85">
        <v>217</v>
      </c>
      <c r="BV85">
        <v>162</v>
      </c>
      <c r="BW85">
        <v>153</v>
      </c>
      <c r="BX85">
        <v>89</v>
      </c>
      <c r="BY85">
        <v>136</v>
      </c>
      <c r="BZ85">
        <v>105</v>
      </c>
      <c r="CA85">
        <v>86</v>
      </c>
      <c r="CB85">
        <v>233</v>
      </c>
      <c r="CC85">
        <v>225</v>
      </c>
      <c r="CD85">
        <v>3773</v>
      </c>
      <c r="CE85">
        <v>3359</v>
      </c>
      <c r="CF85">
        <v>517</v>
      </c>
      <c r="CG85">
        <v>1112</v>
      </c>
      <c r="CH85">
        <v>4822</v>
      </c>
      <c r="CI85">
        <v>1681</v>
      </c>
      <c r="CJ85">
        <v>22823</v>
      </c>
      <c r="CK85">
        <v>6501</v>
      </c>
      <c r="CL85">
        <v>385</v>
      </c>
      <c r="CM85">
        <v>859</v>
      </c>
      <c r="CN85">
        <v>1118</v>
      </c>
      <c r="CO85">
        <v>1289</v>
      </c>
      <c r="CP85">
        <v>1030</v>
      </c>
      <c r="CQ85">
        <v>1822</v>
      </c>
      <c r="CR85">
        <v>4977</v>
      </c>
      <c r="CS85">
        <v>14752</v>
      </c>
      <c r="CT85">
        <v>1609</v>
      </c>
      <c r="CU85">
        <v>656</v>
      </c>
      <c r="CV85">
        <v>234</v>
      </c>
      <c r="CW85">
        <v>527</v>
      </c>
      <c r="CX85">
        <v>38</v>
      </c>
      <c r="CY85">
        <v>4711</v>
      </c>
      <c r="CZ85">
        <v>1378</v>
      </c>
      <c r="DA85">
        <v>17</v>
      </c>
      <c r="DB85">
        <v>385</v>
      </c>
      <c r="DC85">
        <v>6</v>
      </c>
      <c r="DD85">
        <v>1722</v>
      </c>
      <c r="DE85">
        <v>2040</v>
      </c>
      <c r="DF85">
        <v>2577</v>
      </c>
      <c r="DG85">
        <v>10492</v>
      </c>
      <c r="DH85">
        <v>0</v>
      </c>
      <c r="DI85">
        <v>0</v>
      </c>
      <c r="DJ85">
        <v>12805</v>
      </c>
      <c r="DK85">
        <v>0</v>
      </c>
      <c r="DL85">
        <v>0</v>
      </c>
      <c r="DM85">
        <v>43</v>
      </c>
      <c r="DN85">
        <v>11</v>
      </c>
      <c r="DO85">
        <v>7</v>
      </c>
      <c r="DP85">
        <v>11</v>
      </c>
      <c r="DQ85">
        <v>0</v>
      </c>
      <c r="DR85">
        <v>0</v>
      </c>
      <c r="DS85">
        <v>1</v>
      </c>
      <c r="DT85">
        <v>0</v>
      </c>
      <c r="DU85">
        <v>0</v>
      </c>
      <c r="DV85">
        <v>916</v>
      </c>
      <c r="DW85">
        <v>928</v>
      </c>
      <c r="DX85">
        <v>1070</v>
      </c>
      <c r="DY85">
        <v>1319</v>
      </c>
      <c r="DZ85">
        <v>561</v>
      </c>
      <c r="EA85">
        <v>584</v>
      </c>
      <c r="EB85">
        <v>464</v>
      </c>
      <c r="EC85">
        <v>358</v>
      </c>
      <c r="ED85">
        <v>400</v>
      </c>
      <c r="EE85">
        <v>368</v>
      </c>
      <c r="EF85">
        <v>592</v>
      </c>
      <c r="EG85">
        <v>671</v>
      </c>
      <c r="EH85">
        <v>251</v>
      </c>
      <c r="EI85">
        <v>210</v>
      </c>
      <c r="EJ85">
        <v>1267</v>
      </c>
      <c r="EK85">
        <v>1700</v>
      </c>
      <c r="EL85">
        <v>887</v>
      </c>
      <c r="EM85">
        <v>565</v>
      </c>
      <c r="EN85">
        <v>519</v>
      </c>
      <c r="EO85">
        <v>860</v>
      </c>
      <c r="EP85">
        <v>354</v>
      </c>
      <c r="EQ85">
        <v>7932</v>
      </c>
      <c r="ER85">
        <v>7735</v>
      </c>
      <c r="ES85">
        <v>197</v>
      </c>
      <c r="ET85">
        <v>1811</v>
      </c>
      <c r="EU85">
        <v>4123</v>
      </c>
      <c r="EV85">
        <v>4090</v>
      </c>
      <c r="EW85">
        <v>33</v>
      </c>
      <c r="EX85">
        <v>6414</v>
      </c>
      <c r="EY85" s="26">
        <v>58.659726999999997</v>
      </c>
      <c r="EZ85" s="26">
        <v>13.389721000000002</v>
      </c>
      <c r="FA85" s="26">
        <v>10.474951000000001</v>
      </c>
      <c r="FB85" s="26">
        <v>17.228366999999999</v>
      </c>
      <c r="FC85" s="26">
        <v>0.24723500000000001</v>
      </c>
      <c r="FD85">
        <v>1968</v>
      </c>
      <c r="FE85">
        <v>4633</v>
      </c>
      <c r="FF85">
        <v>635</v>
      </c>
      <c r="FG85">
        <v>2499</v>
      </c>
      <c r="FH85">
        <v>2</v>
      </c>
      <c r="FI85">
        <v>1489</v>
      </c>
      <c r="FJ85">
        <v>829</v>
      </c>
      <c r="FK85" s="26" t="s">
        <v>359</v>
      </c>
      <c r="FL85" s="26" t="s">
        <v>359</v>
      </c>
      <c r="FM85" s="26" t="s">
        <v>359</v>
      </c>
      <c r="FN85" s="26" t="s">
        <v>359</v>
      </c>
      <c r="FO85" s="28">
        <v>10491</v>
      </c>
      <c r="FP85" s="28">
        <v>3924</v>
      </c>
      <c r="FQ85">
        <v>314</v>
      </c>
      <c r="FR85">
        <v>142</v>
      </c>
      <c r="FS85">
        <v>30</v>
      </c>
      <c r="FT85">
        <v>20</v>
      </c>
      <c r="FU85">
        <v>9868</v>
      </c>
      <c r="FV85">
        <v>13</v>
      </c>
      <c r="FW85">
        <v>28</v>
      </c>
      <c r="FX85">
        <v>17</v>
      </c>
      <c r="FY85">
        <v>11278</v>
      </c>
      <c r="FZ85">
        <v>3908</v>
      </c>
      <c r="GA85">
        <v>312</v>
      </c>
      <c r="GB85">
        <v>159</v>
      </c>
      <c r="GC85">
        <v>21</v>
      </c>
      <c r="GD85">
        <v>11</v>
      </c>
      <c r="GE85">
        <v>10632</v>
      </c>
      <c r="GF85">
        <v>15</v>
      </c>
      <c r="GG85">
        <v>26</v>
      </c>
      <c r="GH85">
        <v>18</v>
      </c>
      <c r="GI85">
        <v>1307</v>
      </c>
      <c r="GJ85">
        <v>1444</v>
      </c>
      <c r="GK85">
        <v>1463</v>
      </c>
      <c r="GL85">
        <v>1191</v>
      </c>
      <c r="GM85">
        <v>945</v>
      </c>
      <c r="GN85">
        <v>746</v>
      </c>
      <c r="GO85">
        <v>681</v>
      </c>
      <c r="GP85">
        <v>656</v>
      </c>
      <c r="GQ85">
        <v>503</v>
      </c>
      <c r="GR85">
        <v>399</v>
      </c>
      <c r="GS85">
        <v>313</v>
      </c>
      <c r="GT85">
        <v>230</v>
      </c>
      <c r="GU85">
        <v>180</v>
      </c>
      <c r="GV85">
        <v>168</v>
      </c>
      <c r="GW85">
        <v>99</v>
      </c>
      <c r="GX85">
        <v>86</v>
      </c>
      <c r="GY85">
        <v>45</v>
      </c>
      <c r="GZ85">
        <v>34</v>
      </c>
      <c r="HA85">
        <v>1265</v>
      </c>
      <c r="HB85">
        <v>1501</v>
      </c>
      <c r="HC85">
        <v>1458</v>
      </c>
      <c r="HD85">
        <v>1188</v>
      </c>
      <c r="HE85">
        <v>1072</v>
      </c>
      <c r="HF85">
        <v>887</v>
      </c>
      <c r="HG85">
        <v>827</v>
      </c>
      <c r="HH85">
        <v>747</v>
      </c>
      <c r="HI85">
        <v>610</v>
      </c>
      <c r="HJ85">
        <v>470</v>
      </c>
      <c r="HK85">
        <v>341</v>
      </c>
      <c r="HL85">
        <v>260</v>
      </c>
      <c r="HM85">
        <v>194</v>
      </c>
      <c r="HN85">
        <v>189</v>
      </c>
      <c r="HO85">
        <v>97</v>
      </c>
      <c r="HP85">
        <v>68</v>
      </c>
      <c r="HQ85">
        <v>54</v>
      </c>
      <c r="HR85">
        <v>50</v>
      </c>
      <c r="HS85">
        <v>5865</v>
      </c>
      <c r="HT85">
        <v>0</v>
      </c>
      <c r="HU85">
        <v>10</v>
      </c>
      <c r="HV85">
        <v>0</v>
      </c>
      <c r="HW85">
        <v>3</v>
      </c>
      <c r="HX85">
        <v>0</v>
      </c>
      <c r="HY85">
        <v>0</v>
      </c>
      <c r="HZ85">
        <v>2</v>
      </c>
      <c r="IA85">
        <v>385</v>
      </c>
      <c r="IB85">
        <v>859</v>
      </c>
      <c r="IC85">
        <v>1116</v>
      </c>
      <c r="ID85">
        <v>1289</v>
      </c>
      <c r="IE85">
        <v>1029</v>
      </c>
      <c r="IF85">
        <v>729</v>
      </c>
      <c r="IG85">
        <v>444</v>
      </c>
      <c r="IH85">
        <v>272</v>
      </c>
      <c r="II85">
        <v>377</v>
      </c>
      <c r="IJ85">
        <v>736</v>
      </c>
      <c r="IK85">
        <v>2336</v>
      </c>
      <c r="IL85">
        <v>1543</v>
      </c>
      <c r="IM85">
        <v>1100</v>
      </c>
      <c r="IN85">
        <v>517</v>
      </c>
      <c r="IO85">
        <v>195</v>
      </c>
      <c r="IP85">
        <v>37</v>
      </c>
      <c r="IQ85">
        <v>17</v>
      </c>
      <c r="IR85">
        <v>15</v>
      </c>
      <c r="IS85">
        <v>3673</v>
      </c>
      <c r="IT85">
        <v>1870</v>
      </c>
      <c r="IU85">
        <v>663</v>
      </c>
      <c r="IV85">
        <v>239</v>
      </c>
      <c r="IW85">
        <v>51</v>
      </c>
      <c r="IX85">
        <v>1863</v>
      </c>
      <c r="IY85">
        <v>3238</v>
      </c>
      <c r="IZ85">
        <v>8</v>
      </c>
      <c r="JA85">
        <v>84</v>
      </c>
      <c r="JB85">
        <v>14</v>
      </c>
      <c r="JC85">
        <v>674</v>
      </c>
      <c r="JD85">
        <v>6111</v>
      </c>
      <c r="JE85">
        <v>383</v>
      </c>
      <c r="JF85">
        <v>6</v>
      </c>
      <c r="JH85" s="28">
        <v>5836.6202724634832</v>
      </c>
      <c r="JI85" s="28">
        <v>148.33030049672948</v>
      </c>
      <c r="JJ85">
        <v>1364</v>
      </c>
      <c r="JK85">
        <v>4692</v>
      </c>
      <c r="JL85">
        <v>440</v>
      </c>
      <c r="JM85">
        <v>4</v>
      </c>
      <c r="JN85">
        <v>2283</v>
      </c>
      <c r="JO85">
        <v>1479</v>
      </c>
      <c r="JP85">
        <v>520</v>
      </c>
      <c r="JQ85">
        <v>2044</v>
      </c>
      <c r="JR85">
        <v>3927</v>
      </c>
      <c r="JS85">
        <v>422</v>
      </c>
      <c r="JT85">
        <v>243</v>
      </c>
      <c r="JU85">
        <v>3503</v>
      </c>
      <c r="JV85">
        <v>404</v>
      </c>
      <c r="JW85" s="28"/>
      <c r="JX85" s="28"/>
      <c r="JY85" s="28"/>
      <c r="JZ85" s="28"/>
      <c r="KA85" s="28">
        <v>6425.9999699999998</v>
      </c>
      <c r="KB85">
        <v>26834</v>
      </c>
      <c r="KC85">
        <v>0</v>
      </c>
      <c r="KD85">
        <v>27</v>
      </c>
      <c r="KE85">
        <v>0</v>
      </c>
      <c r="KF85">
        <v>11</v>
      </c>
      <c r="KG85">
        <v>0</v>
      </c>
      <c r="KH85">
        <v>0</v>
      </c>
      <c r="KI85">
        <v>5</v>
      </c>
      <c r="KJ85">
        <v>6484</v>
      </c>
      <c r="KK85">
        <v>21065</v>
      </c>
      <c r="KL85">
        <v>1736</v>
      </c>
      <c r="KM85">
        <v>28</v>
      </c>
      <c r="KT85">
        <v>4639</v>
      </c>
      <c r="KU85">
        <v>4661</v>
      </c>
      <c r="KV85">
        <v>3858</v>
      </c>
      <c r="KW85">
        <v>435</v>
      </c>
      <c r="KX85">
        <v>169</v>
      </c>
      <c r="KZ85">
        <v>3950</v>
      </c>
      <c r="LA85">
        <v>372</v>
      </c>
      <c r="LB85">
        <v>167</v>
      </c>
      <c r="LD85">
        <v>2489</v>
      </c>
      <c r="LE85">
        <v>2593</v>
      </c>
      <c r="LF85">
        <v>1312</v>
      </c>
      <c r="LG85">
        <v>2243</v>
      </c>
      <c r="LH85">
        <v>18198</v>
      </c>
      <c r="LI85">
        <v>22</v>
      </c>
      <c r="LJ85">
        <v>1967</v>
      </c>
      <c r="LK85">
        <v>370</v>
      </c>
      <c r="LL85">
        <v>1749</v>
      </c>
      <c r="LM85">
        <v>1</v>
      </c>
      <c r="LN85">
        <v>939</v>
      </c>
      <c r="LO85">
        <v>313</v>
      </c>
      <c r="LP85">
        <v>13</v>
      </c>
      <c r="LQ85">
        <v>1862</v>
      </c>
      <c r="LR85">
        <v>395</v>
      </c>
      <c r="LS85">
        <v>2132</v>
      </c>
      <c r="LT85">
        <v>2</v>
      </c>
      <c r="LU85">
        <v>843</v>
      </c>
      <c r="LV85">
        <v>283</v>
      </c>
      <c r="LW85" s="44"/>
      <c r="LX85" s="44"/>
      <c r="LY85" s="44"/>
      <c r="LZ85">
        <v>6500</v>
      </c>
      <c r="MA85">
        <v>29313</v>
      </c>
      <c r="MB85">
        <v>31942</v>
      </c>
      <c r="MC85">
        <v>14981</v>
      </c>
      <c r="MD85" s="26">
        <v>19.535114</v>
      </c>
      <c r="ME85" s="26">
        <v>12.144897</v>
      </c>
      <c r="MF85" s="26">
        <v>58.198702999999995</v>
      </c>
      <c r="MG85" s="26">
        <v>26.427318</v>
      </c>
      <c r="MH85" s="26">
        <v>20.984614999999998</v>
      </c>
      <c r="MI85" s="26">
        <v>2.815385</v>
      </c>
      <c r="MJ85" s="26">
        <v>5.5846149999999994</v>
      </c>
      <c r="MK85" s="26">
        <v>5.8923079999999999</v>
      </c>
      <c r="ML85" s="26">
        <v>1.1384619999999999</v>
      </c>
      <c r="MM85" s="26">
        <v>77.24615399999999</v>
      </c>
      <c r="MN85" s="26">
        <v>64.876922999999991</v>
      </c>
      <c r="MO85" s="26">
        <v>1.119394</v>
      </c>
      <c r="MP85" t="s">
        <v>1028</v>
      </c>
      <c r="MQ85">
        <v>334</v>
      </c>
      <c r="MR85">
        <v>37</v>
      </c>
    </row>
    <row r="86" spans="1:356">
      <c r="A86" t="s">
        <v>183</v>
      </c>
      <c r="B86" t="s">
        <v>184</v>
      </c>
      <c r="C86">
        <v>6870</v>
      </c>
      <c r="D86">
        <v>9002</v>
      </c>
      <c r="E86">
        <v>10866</v>
      </c>
      <c r="F86">
        <f t="shared" si="4"/>
        <v>1864</v>
      </c>
      <c r="G86" s="26">
        <f t="shared" si="5"/>
        <v>20.70650966451899</v>
      </c>
      <c r="H86">
        <v>5348</v>
      </c>
      <c r="I86">
        <v>5518</v>
      </c>
      <c r="J86">
        <v>6860</v>
      </c>
      <c r="K86">
        <v>4006</v>
      </c>
      <c r="L86">
        <v>610</v>
      </c>
      <c r="M86">
        <v>611</v>
      </c>
      <c r="N86">
        <v>644</v>
      </c>
      <c r="O86">
        <v>603</v>
      </c>
      <c r="P86">
        <v>549</v>
      </c>
      <c r="Q86">
        <v>419</v>
      </c>
      <c r="R86">
        <v>363</v>
      </c>
      <c r="S86">
        <v>333</v>
      </c>
      <c r="T86">
        <v>293</v>
      </c>
      <c r="U86">
        <v>209</v>
      </c>
      <c r="V86">
        <v>179</v>
      </c>
      <c r="W86">
        <v>137</v>
      </c>
      <c r="X86">
        <v>108</v>
      </c>
      <c r="Y86">
        <v>290</v>
      </c>
      <c r="Z86">
        <v>0</v>
      </c>
      <c r="AA86">
        <v>632</v>
      </c>
      <c r="AB86">
        <v>660</v>
      </c>
      <c r="AC86">
        <v>658</v>
      </c>
      <c r="AD86">
        <v>621</v>
      </c>
      <c r="AE86">
        <v>528</v>
      </c>
      <c r="AF86">
        <v>427</v>
      </c>
      <c r="AG86">
        <v>367</v>
      </c>
      <c r="AH86">
        <v>369</v>
      </c>
      <c r="AI86">
        <v>283</v>
      </c>
      <c r="AJ86">
        <v>208</v>
      </c>
      <c r="AK86">
        <v>175</v>
      </c>
      <c r="AL86">
        <v>169</v>
      </c>
      <c r="AM86">
        <v>118</v>
      </c>
      <c r="AN86">
        <v>303</v>
      </c>
      <c r="AO86">
        <v>0</v>
      </c>
      <c r="AP86">
        <v>10700</v>
      </c>
      <c r="AQ86">
        <v>158</v>
      </c>
      <c r="AR86">
        <v>6</v>
      </c>
      <c r="AS86">
        <v>0</v>
      </c>
      <c r="AT86">
        <v>2</v>
      </c>
      <c r="AU86">
        <v>3492</v>
      </c>
      <c r="AV86">
        <v>1766</v>
      </c>
      <c r="AW86">
        <v>1726</v>
      </c>
      <c r="AX86">
        <v>2295</v>
      </c>
      <c r="AY86">
        <v>2496</v>
      </c>
      <c r="AZ86">
        <v>594</v>
      </c>
      <c r="BA86">
        <v>1902</v>
      </c>
      <c r="BB86">
        <v>20</v>
      </c>
      <c r="BC86">
        <v>23</v>
      </c>
      <c r="BD86">
        <v>93</v>
      </c>
      <c r="BE86">
        <v>110</v>
      </c>
      <c r="BF86">
        <v>172</v>
      </c>
      <c r="BG86">
        <v>152</v>
      </c>
      <c r="BH86">
        <v>175</v>
      </c>
      <c r="BI86">
        <v>184</v>
      </c>
      <c r="BJ86">
        <v>188</v>
      </c>
      <c r="BK86">
        <v>146</v>
      </c>
      <c r="BL86">
        <v>139</v>
      </c>
      <c r="BM86">
        <v>136</v>
      </c>
      <c r="BN86">
        <v>137</v>
      </c>
      <c r="BO86">
        <v>121</v>
      </c>
      <c r="BP86">
        <v>143</v>
      </c>
      <c r="BQ86">
        <v>164</v>
      </c>
      <c r="BR86">
        <v>142</v>
      </c>
      <c r="BS86">
        <v>122</v>
      </c>
      <c r="BT86">
        <v>109</v>
      </c>
      <c r="BU86">
        <v>118</v>
      </c>
      <c r="BV86">
        <v>102</v>
      </c>
      <c r="BW86">
        <v>90</v>
      </c>
      <c r="BX86">
        <v>79</v>
      </c>
      <c r="BY86">
        <v>94</v>
      </c>
      <c r="BZ86">
        <v>76</v>
      </c>
      <c r="CA86">
        <v>64</v>
      </c>
      <c r="CB86">
        <v>191</v>
      </c>
      <c r="CC86">
        <v>202</v>
      </c>
      <c r="CD86">
        <v>1754</v>
      </c>
      <c r="CE86">
        <v>1704</v>
      </c>
      <c r="CF86">
        <v>8</v>
      </c>
      <c r="CG86">
        <v>16</v>
      </c>
      <c r="CH86">
        <v>1543</v>
      </c>
      <c r="CI86">
        <v>861</v>
      </c>
      <c r="CJ86">
        <v>7094</v>
      </c>
      <c r="CK86">
        <v>3535</v>
      </c>
      <c r="CL86">
        <v>178</v>
      </c>
      <c r="CM86">
        <v>291</v>
      </c>
      <c r="CN86">
        <v>386</v>
      </c>
      <c r="CO86">
        <v>542</v>
      </c>
      <c r="CP86">
        <v>387</v>
      </c>
      <c r="CQ86">
        <v>620</v>
      </c>
      <c r="CR86">
        <v>1786</v>
      </c>
      <c r="CS86">
        <v>5315</v>
      </c>
      <c r="CT86">
        <v>622</v>
      </c>
      <c r="CU86">
        <v>238</v>
      </c>
      <c r="CV86">
        <v>59</v>
      </c>
      <c r="CW86">
        <v>188</v>
      </c>
      <c r="CX86">
        <v>17</v>
      </c>
      <c r="CY86">
        <v>1665</v>
      </c>
      <c r="CZ86">
        <v>553</v>
      </c>
      <c r="DA86">
        <v>4</v>
      </c>
      <c r="DB86">
        <v>178</v>
      </c>
      <c r="DC86">
        <v>4</v>
      </c>
      <c r="DD86">
        <v>857</v>
      </c>
      <c r="DE86">
        <v>843</v>
      </c>
      <c r="DF86">
        <v>1332</v>
      </c>
      <c r="DG86">
        <v>974</v>
      </c>
      <c r="DH86">
        <v>0</v>
      </c>
      <c r="DI86">
        <v>6860</v>
      </c>
      <c r="DJ86">
        <v>0</v>
      </c>
      <c r="DK86">
        <v>0</v>
      </c>
      <c r="DL86">
        <v>0</v>
      </c>
      <c r="DM86">
        <v>26</v>
      </c>
      <c r="DN86">
        <v>5</v>
      </c>
      <c r="DO86">
        <v>4</v>
      </c>
      <c r="DP86">
        <v>1</v>
      </c>
      <c r="DQ86">
        <v>0</v>
      </c>
      <c r="DR86">
        <v>1</v>
      </c>
      <c r="DS86">
        <v>0</v>
      </c>
      <c r="DT86">
        <v>0</v>
      </c>
      <c r="DU86">
        <v>0</v>
      </c>
      <c r="DV86">
        <v>270</v>
      </c>
      <c r="DW86">
        <v>305</v>
      </c>
      <c r="DX86">
        <v>518</v>
      </c>
      <c r="DY86">
        <v>548</v>
      </c>
      <c r="DZ86">
        <v>239</v>
      </c>
      <c r="EA86">
        <v>240</v>
      </c>
      <c r="EB86">
        <v>150</v>
      </c>
      <c r="EC86">
        <v>103</v>
      </c>
      <c r="ED86">
        <v>140</v>
      </c>
      <c r="EE86">
        <v>141</v>
      </c>
      <c r="EF86">
        <v>178</v>
      </c>
      <c r="EG86">
        <v>205</v>
      </c>
      <c r="EH86">
        <v>53</v>
      </c>
      <c r="EI86">
        <v>41</v>
      </c>
      <c r="EJ86">
        <v>460</v>
      </c>
      <c r="EK86">
        <v>795</v>
      </c>
      <c r="EL86">
        <v>382</v>
      </c>
      <c r="EM86">
        <v>199</v>
      </c>
      <c r="EN86">
        <v>240</v>
      </c>
      <c r="EO86">
        <v>311</v>
      </c>
      <c r="EP86">
        <v>82</v>
      </c>
      <c r="EQ86">
        <v>3198</v>
      </c>
      <c r="ER86">
        <v>3119</v>
      </c>
      <c r="ES86">
        <v>79</v>
      </c>
      <c r="ET86">
        <v>673</v>
      </c>
      <c r="EU86">
        <v>1874</v>
      </c>
      <c r="EV86">
        <v>1864</v>
      </c>
      <c r="EW86">
        <v>10</v>
      </c>
      <c r="EX86">
        <v>2076</v>
      </c>
      <c r="EY86" s="26">
        <v>45.874934000000003</v>
      </c>
      <c r="EZ86" s="26">
        <v>12.322648000000001</v>
      </c>
      <c r="FA86" s="26">
        <v>15.08145</v>
      </c>
      <c r="FB86" s="26">
        <v>26.458224000000001</v>
      </c>
      <c r="FC86" s="26">
        <v>0.262743</v>
      </c>
      <c r="FD86">
        <v>633</v>
      </c>
      <c r="FE86">
        <v>1462</v>
      </c>
      <c r="FF86">
        <v>280</v>
      </c>
      <c r="FG86">
        <v>1126</v>
      </c>
      <c r="FH86">
        <v>4</v>
      </c>
      <c r="FI86">
        <v>928</v>
      </c>
      <c r="FJ86">
        <v>636</v>
      </c>
      <c r="FK86" s="26" t="s">
        <v>359</v>
      </c>
      <c r="FL86" s="26" t="s">
        <v>359</v>
      </c>
      <c r="FM86" s="26" t="s">
        <v>359</v>
      </c>
      <c r="FN86" s="26" t="s">
        <v>359</v>
      </c>
      <c r="FO86" s="28">
        <v>4077</v>
      </c>
      <c r="FP86" s="28">
        <v>1271</v>
      </c>
      <c r="FQ86">
        <v>497</v>
      </c>
      <c r="FR86">
        <v>134</v>
      </c>
      <c r="FS86">
        <v>28</v>
      </c>
      <c r="FT86">
        <v>5</v>
      </c>
      <c r="FU86">
        <v>3172</v>
      </c>
      <c r="FV86">
        <v>12</v>
      </c>
      <c r="FW86">
        <v>11</v>
      </c>
      <c r="FX86">
        <v>0</v>
      </c>
      <c r="FY86">
        <v>4414</v>
      </c>
      <c r="FZ86">
        <v>1102</v>
      </c>
      <c r="GA86">
        <v>518</v>
      </c>
      <c r="GB86">
        <v>133</v>
      </c>
      <c r="GC86">
        <v>33</v>
      </c>
      <c r="GD86">
        <v>5</v>
      </c>
      <c r="GE86">
        <v>3392</v>
      </c>
      <c r="GF86">
        <v>11</v>
      </c>
      <c r="GG86">
        <v>8</v>
      </c>
      <c r="GH86">
        <v>2</v>
      </c>
      <c r="GI86">
        <v>389</v>
      </c>
      <c r="GJ86">
        <v>521</v>
      </c>
      <c r="GK86">
        <v>546</v>
      </c>
      <c r="GL86">
        <v>475</v>
      </c>
      <c r="GM86">
        <v>384</v>
      </c>
      <c r="GN86">
        <v>300</v>
      </c>
      <c r="GO86">
        <v>285</v>
      </c>
      <c r="GP86">
        <v>253</v>
      </c>
      <c r="GQ86">
        <v>225</v>
      </c>
      <c r="GR86">
        <v>157</v>
      </c>
      <c r="GS86">
        <v>126</v>
      </c>
      <c r="GT86">
        <v>102</v>
      </c>
      <c r="GU86">
        <v>82</v>
      </c>
      <c r="GV86">
        <v>70</v>
      </c>
      <c r="GW86">
        <v>70</v>
      </c>
      <c r="GX86">
        <v>46</v>
      </c>
      <c r="GY86">
        <v>26</v>
      </c>
      <c r="GZ86">
        <v>20</v>
      </c>
      <c r="HA86">
        <v>414</v>
      </c>
      <c r="HB86">
        <v>556</v>
      </c>
      <c r="HC86">
        <v>568</v>
      </c>
      <c r="HD86">
        <v>479</v>
      </c>
      <c r="HE86">
        <v>419</v>
      </c>
      <c r="HF86">
        <v>339</v>
      </c>
      <c r="HG86">
        <v>307</v>
      </c>
      <c r="HH86">
        <v>311</v>
      </c>
      <c r="HI86">
        <v>233</v>
      </c>
      <c r="HJ86">
        <v>170</v>
      </c>
      <c r="HK86">
        <v>142</v>
      </c>
      <c r="HL86">
        <v>133</v>
      </c>
      <c r="HM86">
        <v>91</v>
      </c>
      <c r="HN86">
        <v>78</v>
      </c>
      <c r="HO86">
        <v>57</v>
      </c>
      <c r="HP86">
        <v>57</v>
      </c>
      <c r="HQ86">
        <v>24</v>
      </c>
      <c r="HR86">
        <v>36</v>
      </c>
      <c r="HS86">
        <v>2183</v>
      </c>
      <c r="HT86">
        <v>0</v>
      </c>
      <c r="HU86">
        <v>0</v>
      </c>
      <c r="HV86">
        <v>0</v>
      </c>
      <c r="HW86">
        <v>0</v>
      </c>
      <c r="HX86">
        <v>0</v>
      </c>
      <c r="HY86">
        <v>1</v>
      </c>
      <c r="HZ86">
        <v>1</v>
      </c>
      <c r="IA86">
        <v>177</v>
      </c>
      <c r="IB86">
        <v>291</v>
      </c>
      <c r="IC86">
        <v>386</v>
      </c>
      <c r="ID86">
        <v>542</v>
      </c>
      <c r="IE86">
        <v>387</v>
      </c>
      <c r="IF86">
        <v>246</v>
      </c>
      <c r="IG86">
        <v>149</v>
      </c>
      <c r="IH86">
        <v>86</v>
      </c>
      <c r="II86">
        <v>139</v>
      </c>
      <c r="IJ86">
        <v>257</v>
      </c>
      <c r="IK86">
        <v>612</v>
      </c>
      <c r="IL86">
        <v>725</v>
      </c>
      <c r="IM86">
        <v>477</v>
      </c>
      <c r="IN86">
        <v>217</v>
      </c>
      <c r="IO86">
        <v>74</v>
      </c>
      <c r="IP86">
        <v>27</v>
      </c>
      <c r="IQ86">
        <v>8</v>
      </c>
      <c r="IR86">
        <v>4</v>
      </c>
      <c r="IS86">
        <v>1173</v>
      </c>
      <c r="IT86">
        <v>843</v>
      </c>
      <c r="IU86">
        <v>270</v>
      </c>
      <c r="IV86">
        <v>86</v>
      </c>
      <c r="IW86">
        <v>30</v>
      </c>
      <c r="IX86">
        <v>1265</v>
      </c>
      <c r="IY86">
        <v>528</v>
      </c>
      <c r="IZ86">
        <v>63</v>
      </c>
      <c r="JA86">
        <v>10</v>
      </c>
      <c r="JB86">
        <v>0</v>
      </c>
      <c r="JC86">
        <v>40</v>
      </c>
      <c r="JD86">
        <v>2270</v>
      </c>
      <c r="JE86">
        <v>132</v>
      </c>
      <c r="JF86">
        <v>1</v>
      </c>
      <c r="JH86" s="28">
        <v>1777.2318741553736</v>
      </c>
      <c r="JI86" s="28">
        <v>88.446352615676304</v>
      </c>
      <c r="JJ86">
        <v>344</v>
      </c>
      <c r="JK86">
        <v>1887</v>
      </c>
      <c r="JL86">
        <v>171</v>
      </c>
      <c r="JM86">
        <v>1</v>
      </c>
      <c r="JN86">
        <v>941</v>
      </c>
      <c r="JO86">
        <v>604</v>
      </c>
      <c r="JP86">
        <v>231</v>
      </c>
      <c r="JQ86">
        <v>1128</v>
      </c>
      <c r="JR86">
        <v>1829</v>
      </c>
      <c r="JS86">
        <v>236</v>
      </c>
      <c r="JT86">
        <v>40</v>
      </c>
      <c r="JU86">
        <v>1667</v>
      </c>
      <c r="JV86">
        <v>142</v>
      </c>
      <c r="JW86" s="28"/>
      <c r="JX86" s="28"/>
      <c r="JY86" s="28"/>
      <c r="JZ86" s="28"/>
      <c r="KA86" s="28">
        <v>2372.0000023799998</v>
      </c>
      <c r="KB86">
        <v>9719</v>
      </c>
      <c r="KC86">
        <v>0</v>
      </c>
      <c r="KD86">
        <v>0</v>
      </c>
      <c r="KE86">
        <v>0</v>
      </c>
      <c r="KF86">
        <v>0</v>
      </c>
      <c r="KG86">
        <v>0</v>
      </c>
      <c r="KH86">
        <v>1</v>
      </c>
      <c r="KI86">
        <v>5</v>
      </c>
      <c r="KJ86">
        <v>1543</v>
      </c>
      <c r="KK86">
        <v>8395</v>
      </c>
      <c r="KL86">
        <v>685</v>
      </c>
      <c r="KM86">
        <v>5</v>
      </c>
      <c r="KT86">
        <v>1793</v>
      </c>
      <c r="KU86">
        <v>1892</v>
      </c>
      <c r="KV86">
        <v>1394</v>
      </c>
      <c r="KW86">
        <v>206</v>
      </c>
      <c r="KX86">
        <v>126</v>
      </c>
      <c r="KZ86">
        <v>1499</v>
      </c>
      <c r="LA86">
        <v>226</v>
      </c>
      <c r="LB86">
        <v>102</v>
      </c>
      <c r="LD86">
        <v>932</v>
      </c>
      <c r="LE86">
        <v>978</v>
      </c>
      <c r="LF86">
        <v>406</v>
      </c>
      <c r="LG86">
        <v>721</v>
      </c>
      <c r="LH86">
        <v>7051</v>
      </c>
      <c r="LI86">
        <v>8</v>
      </c>
      <c r="LJ86">
        <v>482</v>
      </c>
      <c r="LK86">
        <v>141</v>
      </c>
      <c r="LL86">
        <v>734</v>
      </c>
      <c r="LM86">
        <v>3</v>
      </c>
      <c r="LN86">
        <v>489</v>
      </c>
      <c r="LO86">
        <v>212</v>
      </c>
      <c r="LP86">
        <v>22</v>
      </c>
      <c r="LQ86">
        <v>438</v>
      </c>
      <c r="LR86">
        <v>96</v>
      </c>
      <c r="LS86">
        <v>908</v>
      </c>
      <c r="LT86">
        <v>2</v>
      </c>
      <c r="LU86">
        <v>458</v>
      </c>
      <c r="LV86">
        <v>129</v>
      </c>
      <c r="LW86" s="44"/>
      <c r="LX86" s="44"/>
      <c r="LY86" s="44"/>
      <c r="LZ86">
        <v>2403</v>
      </c>
      <c r="MA86">
        <v>10628</v>
      </c>
      <c r="MB86">
        <v>9578</v>
      </c>
      <c r="MC86">
        <v>2766</v>
      </c>
      <c r="MD86" s="26">
        <v>15.983547999999999</v>
      </c>
      <c r="ME86" s="26">
        <v>7.8313249999999996</v>
      </c>
      <c r="MF86" s="26">
        <v>45.440362999999998</v>
      </c>
      <c r="MG86" s="26">
        <v>21.838763</v>
      </c>
      <c r="MH86" s="26">
        <v>14.315439</v>
      </c>
      <c r="MI86" s="26">
        <v>2.9130249999999998</v>
      </c>
      <c r="MJ86" s="26">
        <v>13.441530999999999</v>
      </c>
      <c r="MK86" s="26">
        <v>5.4931339999999995</v>
      </c>
      <c r="ML86" s="26">
        <v>1.290054</v>
      </c>
      <c r="MM86" s="26">
        <v>74.864751999999996</v>
      </c>
      <c r="MN86" s="26">
        <v>60.840615999999997</v>
      </c>
      <c r="MO86" s="26">
        <v>0.76887099999999997</v>
      </c>
      <c r="MP86" t="s">
        <v>1029</v>
      </c>
      <c r="MQ86">
        <v>475</v>
      </c>
      <c r="MR86">
        <v>43</v>
      </c>
    </row>
    <row r="87" spans="1:356">
      <c r="A87" t="s">
        <v>185</v>
      </c>
      <c r="B87" t="s">
        <v>186</v>
      </c>
      <c r="C87">
        <v>34809</v>
      </c>
      <c r="D87">
        <v>40711</v>
      </c>
      <c r="E87">
        <v>44829</v>
      </c>
      <c r="F87">
        <f t="shared" si="4"/>
        <v>4118</v>
      </c>
      <c r="G87" s="26">
        <f t="shared" si="5"/>
        <v>10.11520227948219</v>
      </c>
      <c r="H87">
        <v>21908</v>
      </c>
      <c r="I87">
        <v>22921</v>
      </c>
      <c r="J87">
        <v>29018</v>
      </c>
      <c r="K87">
        <v>15811</v>
      </c>
      <c r="L87">
        <v>2342</v>
      </c>
      <c r="M87">
        <v>2377</v>
      </c>
      <c r="N87">
        <v>2291</v>
      </c>
      <c r="O87">
        <v>1945</v>
      </c>
      <c r="P87">
        <v>1521</v>
      </c>
      <c r="Q87">
        <v>1514</v>
      </c>
      <c r="R87">
        <v>1606</v>
      </c>
      <c r="S87">
        <v>1507</v>
      </c>
      <c r="T87">
        <v>1404</v>
      </c>
      <c r="U87">
        <v>1167</v>
      </c>
      <c r="V87">
        <v>1058</v>
      </c>
      <c r="W87">
        <v>967</v>
      </c>
      <c r="X87">
        <v>763</v>
      </c>
      <c r="Y87">
        <v>1444</v>
      </c>
      <c r="Z87">
        <v>2</v>
      </c>
      <c r="AA87">
        <v>2328</v>
      </c>
      <c r="AB87">
        <v>2330</v>
      </c>
      <c r="AC87">
        <v>2327</v>
      </c>
      <c r="AD87">
        <v>1915</v>
      </c>
      <c r="AE87">
        <v>1701</v>
      </c>
      <c r="AF87">
        <v>1765</v>
      </c>
      <c r="AG87">
        <v>1801</v>
      </c>
      <c r="AH87">
        <v>1793</v>
      </c>
      <c r="AI87">
        <v>1616</v>
      </c>
      <c r="AJ87">
        <v>1235</v>
      </c>
      <c r="AK87">
        <v>1133</v>
      </c>
      <c r="AL87">
        <v>878</v>
      </c>
      <c r="AM87">
        <v>769</v>
      </c>
      <c r="AN87">
        <v>1327</v>
      </c>
      <c r="AO87">
        <v>3</v>
      </c>
      <c r="AP87">
        <v>29722</v>
      </c>
      <c r="AQ87">
        <v>15048</v>
      </c>
      <c r="AR87">
        <v>26</v>
      </c>
      <c r="AS87">
        <v>23</v>
      </c>
      <c r="AT87">
        <v>10</v>
      </c>
      <c r="AU87">
        <v>257</v>
      </c>
      <c r="AV87">
        <v>135</v>
      </c>
      <c r="AW87">
        <v>122</v>
      </c>
      <c r="AX87">
        <v>337</v>
      </c>
      <c r="AY87">
        <v>175</v>
      </c>
      <c r="AZ87">
        <v>29</v>
      </c>
      <c r="BA87">
        <v>146</v>
      </c>
      <c r="BB87">
        <v>1</v>
      </c>
      <c r="BC87">
        <v>3</v>
      </c>
      <c r="BD87">
        <v>3</v>
      </c>
      <c r="BE87">
        <v>2</v>
      </c>
      <c r="BF87">
        <v>3</v>
      </c>
      <c r="BG87">
        <v>5</v>
      </c>
      <c r="BH87">
        <v>13</v>
      </c>
      <c r="BI87">
        <v>5</v>
      </c>
      <c r="BJ87">
        <v>3</v>
      </c>
      <c r="BK87">
        <v>5</v>
      </c>
      <c r="BL87">
        <v>10</v>
      </c>
      <c r="BM87">
        <v>13</v>
      </c>
      <c r="BN87">
        <v>11</v>
      </c>
      <c r="BO87">
        <v>14</v>
      </c>
      <c r="BP87">
        <v>8</v>
      </c>
      <c r="BQ87">
        <v>14</v>
      </c>
      <c r="BR87">
        <v>8</v>
      </c>
      <c r="BS87">
        <v>10</v>
      </c>
      <c r="BT87">
        <v>10</v>
      </c>
      <c r="BU87">
        <v>7</v>
      </c>
      <c r="BV87">
        <v>11</v>
      </c>
      <c r="BW87">
        <v>4</v>
      </c>
      <c r="BX87">
        <v>16</v>
      </c>
      <c r="BY87">
        <v>9</v>
      </c>
      <c r="BZ87">
        <v>11</v>
      </c>
      <c r="CA87">
        <v>11</v>
      </c>
      <c r="CB87">
        <v>27</v>
      </c>
      <c r="CC87">
        <v>20</v>
      </c>
      <c r="CD87">
        <v>134</v>
      </c>
      <c r="CE87">
        <v>120</v>
      </c>
      <c r="CF87">
        <v>1</v>
      </c>
      <c r="CG87">
        <v>2</v>
      </c>
      <c r="CH87">
        <v>8185</v>
      </c>
      <c r="CI87">
        <v>4335</v>
      </c>
      <c r="CJ87">
        <v>30054</v>
      </c>
      <c r="CK87">
        <v>14765</v>
      </c>
      <c r="CL87">
        <v>1564</v>
      </c>
      <c r="CM87">
        <v>2211</v>
      </c>
      <c r="CN87">
        <v>2569</v>
      </c>
      <c r="CO87">
        <v>2731</v>
      </c>
      <c r="CP87">
        <v>1871</v>
      </c>
      <c r="CQ87">
        <v>1574</v>
      </c>
      <c r="CR87">
        <v>8075</v>
      </c>
      <c r="CS87">
        <v>18263</v>
      </c>
      <c r="CT87">
        <v>3307</v>
      </c>
      <c r="CU87">
        <v>795</v>
      </c>
      <c r="CV87">
        <v>419</v>
      </c>
      <c r="CW87">
        <v>1210</v>
      </c>
      <c r="CX87">
        <v>226</v>
      </c>
      <c r="CY87">
        <v>7996</v>
      </c>
      <c r="CZ87">
        <v>2806</v>
      </c>
      <c r="DA87">
        <v>122</v>
      </c>
      <c r="DB87">
        <v>1564</v>
      </c>
      <c r="DC87">
        <v>31</v>
      </c>
      <c r="DD87">
        <v>398</v>
      </c>
      <c r="DE87">
        <v>1544</v>
      </c>
      <c r="DF87">
        <v>1952</v>
      </c>
      <c r="DG87">
        <v>11917</v>
      </c>
      <c r="DH87">
        <v>0</v>
      </c>
      <c r="DI87">
        <v>0</v>
      </c>
      <c r="DJ87">
        <v>29018</v>
      </c>
      <c r="DK87">
        <v>0</v>
      </c>
      <c r="DL87">
        <v>0</v>
      </c>
      <c r="DM87">
        <v>6</v>
      </c>
      <c r="DN87">
        <v>9</v>
      </c>
      <c r="DO87">
        <v>6</v>
      </c>
      <c r="DP87">
        <v>13</v>
      </c>
      <c r="DQ87">
        <v>0</v>
      </c>
      <c r="DR87">
        <v>0</v>
      </c>
      <c r="DS87">
        <v>1</v>
      </c>
      <c r="DT87">
        <v>0</v>
      </c>
      <c r="DU87">
        <v>0</v>
      </c>
      <c r="DV87">
        <v>1363</v>
      </c>
      <c r="DW87">
        <v>1531</v>
      </c>
      <c r="DX87">
        <v>2234</v>
      </c>
      <c r="DY87">
        <v>2536</v>
      </c>
      <c r="DZ87">
        <v>832</v>
      </c>
      <c r="EA87">
        <v>665</v>
      </c>
      <c r="EB87">
        <v>542</v>
      </c>
      <c r="EC87">
        <v>397</v>
      </c>
      <c r="ED87">
        <v>431</v>
      </c>
      <c r="EE87">
        <v>395</v>
      </c>
      <c r="EF87">
        <v>816</v>
      </c>
      <c r="EG87">
        <v>980</v>
      </c>
      <c r="EH87">
        <v>302</v>
      </c>
      <c r="EI87">
        <v>222</v>
      </c>
      <c r="EJ87">
        <v>1988</v>
      </c>
      <c r="EK87">
        <v>3193</v>
      </c>
      <c r="EL87">
        <v>1021</v>
      </c>
      <c r="EM87">
        <v>594</v>
      </c>
      <c r="EN87">
        <v>554</v>
      </c>
      <c r="EO87">
        <v>1197</v>
      </c>
      <c r="EP87">
        <v>336</v>
      </c>
      <c r="EQ87">
        <v>12239</v>
      </c>
      <c r="ER87">
        <v>11334</v>
      </c>
      <c r="ES87">
        <v>905</v>
      </c>
      <c r="ET87">
        <v>3939</v>
      </c>
      <c r="EU87">
        <v>7776</v>
      </c>
      <c r="EV87">
        <v>7595</v>
      </c>
      <c r="EW87">
        <v>181</v>
      </c>
      <c r="EX87">
        <v>9508</v>
      </c>
      <c r="EY87" s="26">
        <v>23.790544000000001</v>
      </c>
      <c r="EZ87" s="26">
        <v>23.034633999999997</v>
      </c>
      <c r="FA87" s="26">
        <v>15.942826</v>
      </c>
      <c r="FB87" s="26">
        <v>36.036284000000002</v>
      </c>
      <c r="FC87" s="26">
        <v>1.1957120000000001</v>
      </c>
      <c r="FD87">
        <v>1182</v>
      </c>
      <c r="FE87">
        <v>4751</v>
      </c>
      <c r="FF87">
        <v>807</v>
      </c>
      <c r="FG87">
        <v>4816</v>
      </c>
      <c r="FH87">
        <v>33</v>
      </c>
      <c r="FI87">
        <v>4613</v>
      </c>
      <c r="FJ87">
        <v>3787</v>
      </c>
      <c r="FK87" s="26" t="s">
        <v>359</v>
      </c>
      <c r="FL87" s="26" t="s">
        <v>359</v>
      </c>
      <c r="FM87" s="26" t="s">
        <v>359</v>
      </c>
      <c r="FN87" s="26" t="s">
        <v>359</v>
      </c>
      <c r="FO87" s="28">
        <v>14241</v>
      </c>
      <c r="FP87" s="28">
        <v>7652</v>
      </c>
      <c r="FQ87">
        <v>3476</v>
      </c>
      <c r="FR87">
        <v>434</v>
      </c>
      <c r="FS87">
        <v>88</v>
      </c>
      <c r="FT87">
        <v>2775</v>
      </c>
      <c r="FU87">
        <v>7229</v>
      </c>
      <c r="FV87">
        <v>325</v>
      </c>
      <c r="FW87">
        <v>62</v>
      </c>
      <c r="FX87">
        <v>15</v>
      </c>
      <c r="FY87">
        <v>15480</v>
      </c>
      <c r="FZ87">
        <v>7422</v>
      </c>
      <c r="GA87">
        <v>3136</v>
      </c>
      <c r="GB87">
        <v>492</v>
      </c>
      <c r="GC87">
        <v>89</v>
      </c>
      <c r="GD87">
        <v>2767</v>
      </c>
      <c r="GE87">
        <v>8712</v>
      </c>
      <c r="GF87">
        <v>336</v>
      </c>
      <c r="GG87">
        <v>81</v>
      </c>
      <c r="GH87">
        <v>19</v>
      </c>
      <c r="GI87">
        <v>1499</v>
      </c>
      <c r="GJ87">
        <v>1623</v>
      </c>
      <c r="GK87">
        <v>1560</v>
      </c>
      <c r="GL87">
        <v>1292</v>
      </c>
      <c r="GM87">
        <v>849</v>
      </c>
      <c r="GN87">
        <v>887</v>
      </c>
      <c r="GO87">
        <v>1037</v>
      </c>
      <c r="GP87">
        <v>966</v>
      </c>
      <c r="GQ87">
        <v>882</v>
      </c>
      <c r="GR87">
        <v>757</v>
      </c>
      <c r="GS87">
        <v>690</v>
      </c>
      <c r="GT87">
        <v>665</v>
      </c>
      <c r="GU87">
        <v>532</v>
      </c>
      <c r="GV87">
        <v>419</v>
      </c>
      <c r="GW87">
        <v>252</v>
      </c>
      <c r="GX87">
        <v>158</v>
      </c>
      <c r="GY87">
        <v>102</v>
      </c>
      <c r="GZ87">
        <v>71</v>
      </c>
      <c r="HA87">
        <v>1524</v>
      </c>
      <c r="HB87">
        <v>1563</v>
      </c>
      <c r="HC87">
        <v>1584</v>
      </c>
      <c r="HD87">
        <v>1280</v>
      </c>
      <c r="HE87">
        <v>1099</v>
      </c>
      <c r="HF87">
        <v>1169</v>
      </c>
      <c r="HG87">
        <v>1208</v>
      </c>
      <c r="HH87">
        <v>1245</v>
      </c>
      <c r="HI87">
        <v>1110</v>
      </c>
      <c r="HJ87">
        <v>855</v>
      </c>
      <c r="HK87">
        <v>768</v>
      </c>
      <c r="HL87">
        <v>611</v>
      </c>
      <c r="HM87">
        <v>532</v>
      </c>
      <c r="HN87">
        <v>395</v>
      </c>
      <c r="HO87">
        <v>230</v>
      </c>
      <c r="HP87">
        <v>140</v>
      </c>
      <c r="HQ87">
        <v>85</v>
      </c>
      <c r="HR87">
        <v>82</v>
      </c>
      <c r="HS87">
        <v>8621</v>
      </c>
      <c r="HT87">
        <v>36</v>
      </c>
      <c r="HU87">
        <v>144</v>
      </c>
      <c r="HV87">
        <v>0</v>
      </c>
      <c r="HW87">
        <v>21</v>
      </c>
      <c r="HX87">
        <v>0</v>
      </c>
      <c r="HY87">
        <v>5</v>
      </c>
      <c r="HZ87">
        <v>1</v>
      </c>
      <c r="IA87">
        <v>1552</v>
      </c>
      <c r="IB87">
        <v>2210</v>
      </c>
      <c r="IC87">
        <v>2564</v>
      </c>
      <c r="ID87">
        <v>2726</v>
      </c>
      <c r="IE87">
        <v>1868</v>
      </c>
      <c r="IF87">
        <v>857</v>
      </c>
      <c r="IG87">
        <v>387</v>
      </c>
      <c r="IH87">
        <v>170</v>
      </c>
      <c r="II87">
        <v>160</v>
      </c>
      <c r="IJ87">
        <v>2703</v>
      </c>
      <c r="IK87">
        <v>2330</v>
      </c>
      <c r="IL87">
        <v>3154</v>
      </c>
      <c r="IM87">
        <v>2542</v>
      </c>
      <c r="IN87">
        <v>1227</v>
      </c>
      <c r="IO87">
        <v>379</v>
      </c>
      <c r="IP87">
        <v>105</v>
      </c>
      <c r="IQ87">
        <v>35</v>
      </c>
      <c r="IR87">
        <v>18</v>
      </c>
      <c r="IS87">
        <v>5912</v>
      </c>
      <c r="IT87">
        <v>4723</v>
      </c>
      <c r="IU87">
        <v>1553</v>
      </c>
      <c r="IV87">
        <v>258</v>
      </c>
      <c r="IW87">
        <v>47</v>
      </c>
      <c r="IX87">
        <v>7436</v>
      </c>
      <c r="IY87">
        <v>1310</v>
      </c>
      <c r="IZ87">
        <v>4</v>
      </c>
      <c r="JA87">
        <v>76</v>
      </c>
      <c r="JB87">
        <v>67</v>
      </c>
      <c r="JC87">
        <v>28</v>
      </c>
      <c r="JD87">
        <v>12298</v>
      </c>
      <c r="JE87">
        <v>195</v>
      </c>
      <c r="JF87">
        <v>1</v>
      </c>
      <c r="JH87" s="28">
        <v>9915.3217966413413</v>
      </c>
      <c r="JI87" s="28">
        <v>292.78719503546188</v>
      </c>
      <c r="JJ87">
        <v>736</v>
      </c>
      <c r="JK87">
        <v>8692</v>
      </c>
      <c r="JL87">
        <v>3065</v>
      </c>
      <c r="JM87">
        <v>1</v>
      </c>
      <c r="JN87">
        <v>10746</v>
      </c>
      <c r="JO87">
        <v>9549</v>
      </c>
      <c r="JP87">
        <v>3972</v>
      </c>
      <c r="JQ87">
        <v>5962</v>
      </c>
      <c r="JR87">
        <v>10800</v>
      </c>
      <c r="JS87">
        <v>2559</v>
      </c>
      <c r="JT87">
        <v>1651</v>
      </c>
      <c r="JU87">
        <v>10789</v>
      </c>
      <c r="JV87">
        <v>3840</v>
      </c>
      <c r="JW87" s="28"/>
      <c r="JX87" s="28"/>
      <c r="JY87" s="28"/>
      <c r="JZ87" s="28"/>
      <c r="KA87" s="28">
        <v>12410.99998414</v>
      </c>
      <c r="KB87">
        <v>31616</v>
      </c>
      <c r="KC87">
        <v>74</v>
      </c>
      <c r="KD87">
        <v>383</v>
      </c>
      <c r="KE87">
        <v>0</v>
      </c>
      <c r="KF87">
        <v>50</v>
      </c>
      <c r="KG87">
        <v>0</v>
      </c>
      <c r="KH87">
        <v>14</v>
      </c>
      <c r="KI87">
        <v>2</v>
      </c>
      <c r="KJ87">
        <v>2511</v>
      </c>
      <c r="KK87">
        <v>31097</v>
      </c>
      <c r="KL87">
        <v>11142</v>
      </c>
      <c r="KM87">
        <v>5</v>
      </c>
      <c r="KT87">
        <v>6658</v>
      </c>
      <c r="KU87">
        <v>6729</v>
      </c>
      <c r="KV87">
        <v>5218</v>
      </c>
      <c r="KW87">
        <v>826</v>
      </c>
      <c r="KX87">
        <v>462</v>
      </c>
      <c r="KZ87">
        <v>5251</v>
      </c>
      <c r="LA87">
        <v>834</v>
      </c>
      <c r="LB87">
        <v>460</v>
      </c>
      <c r="LD87">
        <v>3603</v>
      </c>
      <c r="LE87">
        <v>3684</v>
      </c>
      <c r="LF87">
        <v>778</v>
      </c>
      <c r="LG87">
        <v>1236</v>
      </c>
      <c r="LH87">
        <v>30829</v>
      </c>
      <c r="LI87">
        <v>24</v>
      </c>
      <c r="LJ87">
        <v>1911</v>
      </c>
      <c r="LK87">
        <v>567</v>
      </c>
      <c r="LL87">
        <v>3432</v>
      </c>
      <c r="LM87">
        <v>18</v>
      </c>
      <c r="LN87">
        <v>2850</v>
      </c>
      <c r="LO87">
        <v>1597</v>
      </c>
      <c r="LP87">
        <v>47</v>
      </c>
      <c r="LQ87">
        <v>2227</v>
      </c>
      <c r="LR87">
        <v>513</v>
      </c>
      <c r="LS87">
        <v>3949</v>
      </c>
      <c r="LT87">
        <v>23</v>
      </c>
      <c r="LU87">
        <v>2575</v>
      </c>
      <c r="LV87">
        <v>1479</v>
      </c>
      <c r="LW87" s="44"/>
      <c r="LX87" s="44"/>
      <c r="LY87" s="44"/>
      <c r="LZ87">
        <v>12494</v>
      </c>
      <c r="MA87">
        <v>44755</v>
      </c>
      <c r="MB87">
        <v>45104</v>
      </c>
      <c r="MC87">
        <v>256</v>
      </c>
      <c r="MD87" s="26">
        <v>6.5328099999999996</v>
      </c>
      <c r="ME87" s="26">
        <v>6.0780779999999996</v>
      </c>
      <c r="MF87" s="26">
        <v>35.628791</v>
      </c>
      <c r="MG87" s="26">
        <v>33.625554999999999</v>
      </c>
      <c r="MH87" s="26">
        <v>5.890828</v>
      </c>
      <c r="MI87" s="26">
        <v>1.8248759999999999</v>
      </c>
      <c r="MJ87" s="26">
        <v>3.481671</v>
      </c>
      <c r="MK87" s="26">
        <v>1.5607489999999999</v>
      </c>
      <c r="ML87" s="26">
        <v>0.66431899999999999</v>
      </c>
      <c r="MM87" s="26">
        <v>23.571313999999997</v>
      </c>
      <c r="MN87" s="26">
        <v>13.990715999999999</v>
      </c>
      <c r="MO87" s="26">
        <v>-0.724109</v>
      </c>
      <c r="MP87" t="s">
        <v>1031</v>
      </c>
      <c r="MQ87">
        <v>1809</v>
      </c>
      <c r="MR87">
        <v>123</v>
      </c>
    </row>
    <row r="88" spans="1:356">
      <c r="A88" t="s">
        <v>277</v>
      </c>
      <c r="B88" t="s">
        <v>278</v>
      </c>
      <c r="C88" t="s">
        <v>393</v>
      </c>
      <c r="D88" t="s">
        <v>359</v>
      </c>
      <c r="E88">
        <v>8718</v>
      </c>
      <c r="F88" t="e">
        <f t="shared" si="4"/>
        <v>#VALUE!</v>
      </c>
      <c r="G88" s="26" t="e">
        <f t="shared" si="5"/>
        <v>#VALUE!</v>
      </c>
      <c r="H88">
        <v>4027</v>
      </c>
      <c r="I88">
        <v>4691</v>
      </c>
      <c r="J88">
        <v>6732</v>
      </c>
      <c r="K88">
        <v>1986</v>
      </c>
      <c r="L88">
        <v>599</v>
      </c>
      <c r="M88">
        <v>624</v>
      </c>
      <c r="N88">
        <v>532</v>
      </c>
      <c r="O88">
        <v>439</v>
      </c>
      <c r="P88">
        <v>329</v>
      </c>
      <c r="Q88">
        <v>309</v>
      </c>
      <c r="R88">
        <v>273</v>
      </c>
      <c r="S88">
        <v>196</v>
      </c>
      <c r="T88">
        <v>161</v>
      </c>
      <c r="U88">
        <v>141</v>
      </c>
      <c r="V88">
        <v>100</v>
      </c>
      <c r="W88">
        <v>74</v>
      </c>
      <c r="X88">
        <v>77</v>
      </c>
      <c r="Y88">
        <v>173</v>
      </c>
      <c r="Z88">
        <v>0</v>
      </c>
      <c r="AA88">
        <v>602</v>
      </c>
      <c r="AB88">
        <v>681</v>
      </c>
      <c r="AC88">
        <v>580</v>
      </c>
      <c r="AD88">
        <v>516</v>
      </c>
      <c r="AE88">
        <v>452</v>
      </c>
      <c r="AF88">
        <v>373</v>
      </c>
      <c r="AG88">
        <v>323</v>
      </c>
      <c r="AH88">
        <v>243</v>
      </c>
      <c r="AI88">
        <v>205</v>
      </c>
      <c r="AJ88">
        <v>160</v>
      </c>
      <c r="AK88">
        <v>163</v>
      </c>
      <c r="AL88">
        <v>85</v>
      </c>
      <c r="AM88">
        <v>105</v>
      </c>
      <c r="AN88">
        <v>203</v>
      </c>
      <c r="AO88">
        <v>0</v>
      </c>
      <c r="AP88">
        <v>8714</v>
      </c>
      <c r="AQ88">
        <v>3</v>
      </c>
      <c r="AR88">
        <v>1</v>
      </c>
      <c r="AS88">
        <v>0</v>
      </c>
      <c r="AT88">
        <v>0</v>
      </c>
      <c r="AU88">
        <v>6981</v>
      </c>
      <c r="AV88">
        <v>3195</v>
      </c>
      <c r="AW88">
        <v>3786</v>
      </c>
      <c r="AX88" t="s">
        <v>393</v>
      </c>
      <c r="AY88" t="s">
        <v>393</v>
      </c>
      <c r="AZ88" t="s">
        <v>393</v>
      </c>
      <c r="BA88" t="s">
        <v>393</v>
      </c>
      <c r="BB88">
        <v>174</v>
      </c>
      <c r="BC88">
        <v>201</v>
      </c>
      <c r="BD88">
        <v>528</v>
      </c>
      <c r="BE88">
        <v>566</v>
      </c>
      <c r="BF88">
        <v>467</v>
      </c>
      <c r="BG88">
        <v>495</v>
      </c>
      <c r="BH88">
        <v>374</v>
      </c>
      <c r="BI88">
        <v>449</v>
      </c>
      <c r="BJ88">
        <v>287</v>
      </c>
      <c r="BK88">
        <v>401</v>
      </c>
      <c r="BL88">
        <v>272</v>
      </c>
      <c r="BM88">
        <v>330</v>
      </c>
      <c r="BN88">
        <v>250</v>
      </c>
      <c r="BO88">
        <v>289</v>
      </c>
      <c r="BP88">
        <v>177</v>
      </c>
      <c r="BQ88">
        <v>220</v>
      </c>
      <c r="BR88">
        <v>148</v>
      </c>
      <c r="BS88">
        <v>184</v>
      </c>
      <c r="BT88">
        <v>128</v>
      </c>
      <c r="BU88">
        <v>146</v>
      </c>
      <c r="BV88">
        <v>91</v>
      </c>
      <c r="BW88">
        <v>145</v>
      </c>
      <c r="BX88">
        <v>69</v>
      </c>
      <c r="BY88">
        <v>78</v>
      </c>
      <c r="BZ88">
        <v>69</v>
      </c>
      <c r="CA88">
        <v>97</v>
      </c>
      <c r="CB88">
        <v>161</v>
      </c>
      <c r="CC88">
        <v>185</v>
      </c>
      <c r="CD88">
        <v>2111</v>
      </c>
      <c r="CE88">
        <v>2266</v>
      </c>
      <c r="CF88">
        <v>1005</v>
      </c>
      <c r="CG88">
        <v>1433</v>
      </c>
      <c r="CH88">
        <v>1417</v>
      </c>
      <c r="CI88">
        <v>430</v>
      </c>
      <c r="CJ88">
        <v>7096</v>
      </c>
      <c r="CK88">
        <v>1622</v>
      </c>
      <c r="CL88">
        <v>117</v>
      </c>
      <c r="CM88">
        <v>233</v>
      </c>
      <c r="CN88">
        <v>305</v>
      </c>
      <c r="CO88">
        <v>305</v>
      </c>
      <c r="CP88">
        <v>259</v>
      </c>
      <c r="CQ88">
        <v>628</v>
      </c>
      <c r="CR88">
        <v>1338</v>
      </c>
      <c r="CS88">
        <v>4932</v>
      </c>
      <c r="CT88">
        <v>336</v>
      </c>
      <c r="CU88">
        <v>103</v>
      </c>
      <c r="CV88">
        <v>42</v>
      </c>
      <c r="CW88">
        <v>119</v>
      </c>
      <c r="CX88">
        <v>1</v>
      </c>
      <c r="CY88">
        <v>1404</v>
      </c>
      <c r="CZ88">
        <v>325</v>
      </c>
      <c r="DA88">
        <v>1</v>
      </c>
      <c r="DB88">
        <v>117</v>
      </c>
      <c r="DC88">
        <v>0</v>
      </c>
      <c r="DD88">
        <v>134</v>
      </c>
      <c r="DE88">
        <v>134</v>
      </c>
      <c r="DF88">
        <v>253</v>
      </c>
      <c r="DG88">
        <v>1465</v>
      </c>
      <c r="DH88">
        <v>0</v>
      </c>
      <c r="DI88">
        <v>6732</v>
      </c>
      <c r="DJ88">
        <v>0</v>
      </c>
      <c r="DK88">
        <v>0</v>
      </c>
      <c r="DL88">
        <v>0</v>
      </c>
      <c r="DM88">
        <v>3</v>
      </c>
      <c r="DN88">
        <v>1</v>
      </c>
      <c r="DO88">
        <v>1</v>
      </c>
      <c r="DP88">
        <v>2</v>
      </c>
      <c r="DQ88">
        <v>0</v>
      </c>
      <c r="DR88">
        <v>1</v>
      </c>
      <c r="DS88">
        <v>0</v>
      </c>
      <c r="DT88">
        <v>0</v>
      </c>
      <c r="DU88">
        <v>0</v>
      </c>
      <c r="DV88">
        <v>184</v>
      </c>
      <c r="DW88">
        <v>249</v>
      </c>
      <c r="DX88">
        <v>232</v>
      </c>
      <c r="DY88">
        <v>359</v>
      </c>
      <c r="DZ88">
        <v>168</v>
      </c>
      <c r="EA88">
        <v>219</v>
      </c>
      <c r="EB88">
        <v>74</v>
      </c>
      <c r="EC88">
        <v>77</v>
      </c>
      <c r="ED88">
        <v>45</v>
      </c>
      <c r="EE88">
        <v>60</v>
      </c>
      <c r="EF88">
        <v>80</v>
      </c>
      <c r="EG88">
        <v>114</v>
      </c>
      <c r="EH88">
        <v>49</v>
      </c>
      <c r="EI88">
        <v>47</v>
      </c>
      <c r="EJ88">
        <v>320</v>
      </c>
      <c r="EK88">
        <v>455</v>
      </c>
      <c r="EL88">
        <v>294</v>
      </c>
      <c r="EM88">
        <v>111</v>
      </c>
      <c r="EN88">
        <v>81</v>
      </c>
      <c r="EO88">
        <v>144</v>
      </c>
      <c r="EP88">
        <v>61</v>
      </c>
      <c r="EQ88">
        <v>2037</v>
      </c>
      <c r="ER88">
        <v>2004</v>
      </c>
      <c r="ES88">
        <v>33</v>
      </c>
      <c r="ET88">
        <v>523</v>
      </c>
      <c r="EU88">
        <v>863</v>
      </c>
      <c r="EV88">
        <v>844</v>
      </c>
      <c r="EW88">
        <v>19</v>
      </c>
      <c r="EX88">
        <v>2291</v>
      </c>
      <c r="EY88" s="26">
        <v>91.490212</v>
      </c>
      <c r="EZ88" s="26">
        <v>4.0751100000000005</v>
      </c>
      <c r="FA88" s="26">
        <v>1.7578910000000001</v>
      </c>
      <c r="FB88" s="26">
        <v>2.6767880000000002</v>
      </c>
      <c r="FC88" s="26">
        <v>0</v>
      </c>
      <c r="FD88">
        <v>612</v>
      </c>
      <c r="FE88">
        <v>1480</v>
      </c>
      <c r="FF88">
        <v>88</v>
      </c>
      <c r="FG88">
        <v>445</v>
      </c>
      <c r="FH88">
        <v>0</v>
      </c>
      <c r="FI88">
        <v>245</v>
      </c>
      <c r="FJ88">
        <v>26</v>
      </c>
      <c r="FK88" s="26" t="s">
        <v>359</v>
      </c>
      <c r="FL88" s="26" t="s">
        <v>359</v>
      </c>
      <c r="FM88" s="26" t="s">
        <v>359</v>
      </c>
      <c r="FN88" s="26" t="s">
        <v>359</v>
      </c>
      <c r="FO88" s="28">
        <v>2906</v>
      </c>
      <c r="FP88" s="28">
        <v>1121</v>
      </c>
      <c r="FQ88">
        <v>4</v>
      </c>
      <c r="FR88">
        <v>2</v>
      </c>
      <c r="FS88">
        <v>0</v>
      </c>
      <c r="FT88">
        <v>0</v>
      </c>
      <c r="FU88">
        <v>2727</v>
      </c>
      <c r="FV88">
        <v>0</v>
      </c>
      <c r="FW88">
        <v>1</v>
      </c>
      <c r="FX88">
        <v>0</v>
      </c>
      <c r="FY88">
        <v>3606</v>
      </c>
      <c r="FZ88">
        <v>1085</v>
      </c>
      <c r="GA88">
        <v>5</v>
      </c>
      <c r="GB88">
        <v>2</v>
      </c>
      <c r="GC88">
        <v>0</v>
      </c>
      <c r="GD88">
        <v>0</v>
      </c>
      <c r="GE88">
        <v>3406</v>
      </c>
      <c r="GF88">
        <v>2</v>
      </c>
      <c r="GG88">
        <v>0</v>
      </c>
      <c r="GH88">
        <v>0</v>
      </c>
      <c r="GI88">
        <v>329</v>
      </c>
      <c r="GJ88">
        <v>477</v>
      </c>
      <c r="GK88">
        <v>417</v>
      </c>
      <c r="GL88">
        <v>323</v>
      </c>
      <c r="GM88">
        <v>205</v>
      </c>
      <c r="GN88">
        <v>228</v>
      </c>
      <c r="GO88">
        <v>197</v>
      </c>
      <c r="GP88">
        <v>161</v>
      </c>
      <c r="GQ88">
        <v>136</v>
      </c>
      <c r="GR88">
        <v>108</v>
      </c>
      <c r="GS88">
        <v>76</v>
      </c>
      <c r="GT88">
        <v>56</v>
      </c>
      <c r="GU88">
        <v>56</v>
      </c>
      <c r="GV88">
        <v>52</v>
      </c>
      <c r="GW88">
        <v>37</v>
      </c>
      <c r="GX88">
        <v>28</v>
      </c>
      <c r="GY88">
        <v>10</v>
      </c>
      <c r="GZ88">
        <v>10</v>
      </c>
      <c r="HA88">
        <v>339</v>
      </c>
      <c r="HB88">
        <v>544</v>
      </c>
      <c r="HC88">
        <v>469</v>
      </c>
      <c r="HD88">
        <v>351</v>
      </c>
      <c r="HE88">
        <v>328</v>
      </c>
      <c r="HF88">
        <v>316</v>
      </c>
      <c r="HG88">
        <v>281</v>
      </c>
      <c r="HH88">
        <v>213</v>
      </c>
      <c r="HI88">
        <v>175</v>
      </c>
      <c r="HJ88">
        <v>139</v>
      </c>
      <c r="HK88">
        <v>131</v>
      </c>
      <c r="HL88">
        <v>73</v>
      </c>
      <c r="HM88">
        <v>85</v>
      </c>
      <c r="HN88">
        <v>49</v>
      </c>
      <c r="HO88">
        <v>41</v>
      </c>
      <c r="HP88">
        <v>39</v>
      </c>
      <c r="HQ88">
        <v>15</v>
      </c>
      <c r="HR88">
        <v>18</v>
      </c>
      <c r="HS88">
        <v>1781</v>
      </c>
      <c r="HT88">
        <v>0</v>
      </c>
      <c r="HU88">
        <v>0</v>
      </c>
      <c r="HV88">
        <v>0</v>
      </c>
      <c r="HW88">
        <v>0</v>
      </c>
      <c r="HX88">
        <v>0</v>
      </c>
      <c r="HY88">
        <v>0</v>
      </c>
      <c r="HZ88">
        <v>0</v>
      </c>
      <c r="IA88">
        <v>117</v>
      </c>
      <c r="IB88">
        <v>233</v>
      </c>
      <c r="IC88">
        <v>305</v>
      </c>
      <c r="ID88">
        <v>305</v>
      </c>
      <c r="IE88">
        <v>259</v>
      </c>
      <c r="IF88">
        <v>227</v>
      </c>
      <c r="IG88">
        <v>154</v>
      </c>
      <c r="IH88">
        <v>105</v>
      </c>
      <c r="II88">
        <v>142</v>
      </c>
      <c r="IJ88">
        <v>305</v>
      </c>
      <c r="IK88">
        <v>556</v>
      </c>
      <c r="IL88">
        <v>548</v>
      </c>
      <c r="IM88">
        <v>309</v>
      </c>
      <c r="IN88">
        <v>87</v>
      </c>
      <c r="IO88">
        <v>31</v>
      </c>
      <c r="IP88">
        <v>7</v>
      </c>
      <c r="IQ88">
        <v>4</v>
      </c>
      <c r="IR88">
        <v>0</v>
      </c>
      <c r="IS88">
        <v>919</v>
      </c>
      <c r="IT88">
        <v>655</v>
      </c>
      <c r="IU88">
        <v>195</v>
      </c>
      <c r="IV88">
        <v>57</v>
      </c>
      <c r="IW88">
        <v>21</v>
      </c>
      <c r="IX88">
        <v>883</v>
      </c>
      <c r="IY88">
        <v>788</v>
      </c>
      <c r="IZ88">
        <v>11</v>
      </c>
      <c r="JA88">
        <v>5</v>
      </c>
      <c r="JB88">
        <v>0</v>
      </c>
      <c r="JC88">
        <v>5</v>
      </c>
      <c r="JD88">
        <v>1672</v>
      </c>
      <c r="JE88">
        <v>175</v>
      </c>
      <c r="JF88">
        <v>0</v>
      </c>
      <c r="JH88" s="28">
        <v>0</v>
      </c>
      <c r="JI88" s="28">
        <v>0</v>
      </c>
      <c r="JJ88">
        <v>485</v>
      </c>
      <c r="JK88">
        <v>1192</v>
      </c>
      <c r="JL88">
        <v>170</v>
      </c>
      <c r="JM88">
        <v>0</v>
      </c>
      <c r="JN88">
        <v>509</v>
      </c>
      <c r="JO88">
        <v>99</v>
      </c>
      <c r="JP88">
        <v>109</v>
      </c>
      <c r="JQ88">
        <v>311</v>
      </c>
      <c r="JR88">
        <v>1176</v>
      </c>
      <c r="JS88">
        <v>20</v>
      </c>
      <c r="JT88">
        <v>6</v>
      </c>
      <c r="JU88">
        <v>1152</v>
      </c>
      <c r="JV88">
        <v>46</v>
      </c>
      <c r="JW88" s="28"/>
      <c r="JX88" s="28"/>
      <c r="JY88" s="28"/>
      <c r="JZ88" s="28"/>
      <c r="KA88" s="28">
        <v>1823.99999239</v>
      </c>
      <c r="KB88">
        <v>8439</v>
      </c>
      <c r="KC88">
        <v>0</v>
      </c>
      <c r="KD88">
        <v>0</v>
      </c>
      <c r="KE88">
        <v>0</v>
      </c>
      <c r="KF88">
        <v>0</v>
      </c>
      <c r="KG88">
        <v>0</v>
      </c>
      <c r="KH88">
        <v>0</v>
      </c>
      <c r="KI88">
        <v>0</v>
      </c>
      <c r="KJ88">
        <v>2161</v>
      </c>
      <c r="KK88">
        <v>5792</v>
      </c>
      <c r="KL88">
        <v>765</v>
      </c>
      <c r="KM88">
        <v>0</v>
      </c>
      <c r="KT88">
        <v>1249</v>
      </c>
      <c r="KU88">
        <v>1340</v>
      </c>
      <c r="KV88">
        <v>1152</v>
      </c>
      <c r="KW88">
        <v>63</v>
      </c>
      <c r="KX88">
        <v>5</v>
      </c>
      <c r="KZ88">
        <v>1218</v>
      </c>
      <c r="LA88">
        <v>69</v>
      </c>
      <c r="LB88">
        <v>7</v>
      </c>
      <c r="LD88">
        <v>783</v>
      </c>
      <c r="LE88">
        <v>852</v>
      </c>
      <c r="LF88">
        <v>424</v>
      </c>
      <c r="LG88">
        <v>810</v>
      </c>
      <c r="LH88">
        <v>5100</v>
      </c>
      <c r="LI88">
        <v>6</v>
      </c>
      <c r="LJ88">
        <v>776</v>
      </c>
      <c r="LK88">
        <v>69</v>
      </c>
      <c r="LL88">
        <v>356</v>
      </c>
      <c r="LM88">
        <v>1</v>
      </c>
      <c r="LN88">
        <v>152</v>
      </c>
      <c r="LO88">
        <v>13</v>
      </c>
      <c r="LP88">
        <v>8</v>
      </c>
      <c r="LQ88">
        <v>799</v>
      </c>
      <c r="LR88">
        <v>55</v>
      </c>
      <c r="LS88">
        <v>537</v>
      </c>
      <c r="LT88">
        <v>0</v>
      </c>
      <c r="LU88">
        <v>235</v>
      </c>
      <c r="LV88">
        <v>8</v>
      </c>
      <c r="LW88" s="44"/>
      <c r="LX88" s="44"/>
      <c r="LY88" s="44"/>
      <c r="LZ88">
        <v>1847</v>
      </c>
      <c r="MA88">
        <v>8718</v>
      </c>
      <c r="MB88" t="s">
        <v>359</v>
      </c>
      <c r="MC88" t="s">
        <v>359</v>
      </c>
      <c r="MD88" s="26">
        <v>24.196078</v>
      </c>
      <c r="ME88" s="26">
        <v>14.754856999999999</v>
      </c>
      <c r="MF88" s="26">
        <v>71.411765000000003</v>
      </c>
      <c r="MG88" s="26">
        <v>25.303968999999999</v>
      </c>
      <c r="MH88" s="26">
        <v>26.258797999999999</v>
      </c>
      <c r="MI88" s="26">
        <v>2.9236599999999999</v>
      </c>
      <c r="MJ88" s="26">
        <v>2.3281000000000001</v>
      </c>
      <c r="MK88" s="26">
        <v>9.4748239999999999</v>
      </c>
      <c r="ML88" s="26">
        <v>1.245263</v>
      </c>
      <c r="MM88" s="26">
        <v>94.639956999999995</v>
      </c>
      <c r="MN88" s="26">
        <v>72.441797999999991</v>
      </c>
      <c r="MO88" s="26">
        <v>1.696329</v>
      </c>
      <c r="MP88" t="s">
        <v>1028</v>
      </c>
      <c r="MQ88">
        <v>173</v>
      </c>
      <c r="MR88">
        <v>17</v>
      </c>
    </row>
    <row r="89" spans="1:356">
      <c r="A89" t="s">
        <v>189</v>
      </c>
      <c r="B89" t="s">
        <v>190</v>
      </c>
      <c r="C89">
        <v>21156</v>
      </c>
      <c r="D89">
        <v>25187</v>
      </c>
      <c r="E89">
        <v>29889</v>
      </c>
      <c r="F89">
        <f t="shared" si="4"/>
        <v>4702</v>
      </c>
      <c r="G89" s="26">
        <f t="shared" si="5"/>
        <v>18.6683606622464</v>
      </c>
      <c r="H89">
        <v>14921</v>
      </c>
      <c r="I89">
        <v>14968</v>
      </c>
      <c r="J89">
        <v>6190</v>
      </c>
      <c r="K89">
        <v>23699</v>
      </c>
      <c r="L89">
        <v>1822</v>
      </c>
      <c r="M89">
        <v>1837</v>
      </c>
      <c r="N89">
        <v>1627</v>
      </c>
      <c r="O89">
        <v>1507</v>
      </c>
      <c r="P89">
        <v>1348</v>
      </c>
      <c r="Q89">
        <v>1168</v>
      </c>
      <c r="R89">
        <v>1076</v>
      </c>
      <c r="S89">
        <v>964</v>
      </c>
      <c r="T89">
        <v>761</v>
      </c>
      <c r="U89">
        <v>703</v>
      </c>
      <c r="V89">
        <v>499</v>
      </c>
      <c r="W89">
        <v>401</v>
      </c>
      <c r="X89">
        <v>375</v>
      </c>
      <c r="Y89">
        <v>833</v>
      </c>
      <c r="Z89">
        <v>0</v>
      </c>
      <c r="AA89">
        <v>1882</v>
      </c>
      <c r="AB89">
        <v>1818</v>
      </c>
      <c r="AC89">
        <v>1625</v>
      </c>
      <c r="AD89">
        <v>1495</v>
      </c>
      <c r="AE89">
        <v>1341</v>
      </c>
      <c r="AF89">
        <v>1200</v>
      </c>
      <c r="AG89">
        <v>1077</v>
      </c>
      <c r="AH89">
        <v>992</v>
      </c>
      <c r="AI89">
        <v>793</v>
      </c>
      <c r="AJ89">
        <v>702</v>
      </c>
      <c r="AK89">
        <v>504</v>
      </c>
      <c r="AL89">
        <v>440</v>
      </c>
      <c r="AM89">
        <v>334</v>
      </c>
      <c r="AN89">
        <v>765</v>
      </c>
      <c r="AO89">
        <v>0</v>
      </c>
      <c r="AP89">
        <v>29621</v>
      </c>
      <c r="AQ89">
        <v>257</v>
      </c>
      <c r="AR89">
        <v>7</v>
      </c>
      <c r="AS89">
        <v>0</v>
      </c>
      <c r="AT89">
        <v>4</v>
      </c>
      <c r="AU89">
        <v>20287</v>
      </c>
      <c r="AV89">
        <v>10237</v>
      </c>
      <c r="AW89">
        <v>10050</v>
      </c>
      <c r="AX89">
        <v>13480</v>
      </c>
      <c r="AY89">
        <v>18043</v>
      </c>
      <c r="AZ89">
        <v>16869</v>
      </c>
      <c r="BA89">
        <v>1174</v>
      </c>
      <c r="BB89">
        <v>431</v>
      </c>
      <c r="BC89">
        <v>426</v>
      </c>
      <c r="BD89">
        <v>1141</v>
      </c>
      <c r="BE89">
        <v>1153</v>
      </c>
      <c r="BF89">
        <v>1111</v>
      </c>
      <c r="BG89">
        <v>1063</v>
      </c>
      <c r="BH89">
        <v>1068</v>
      </c>
      <c r="BI89">
        <v>1047</v>
      </c>
      <c r="BJ89">
        <v>992</v>
      </c>
      <c r="BK89">
        <v>960</v>
      </c>
      <c r="BL89">
        <v>890</v>
      </c>
      <c r="BM89">
        <v>867</v>
      </c>
      <c r="BN89">
        <v>838</v>
      </c>
      <c r="BO89">
        <v>813</v>
      </c>
      <c r="BP89">
        <v>763</v>
      </c>
      <c r="BQ89">
        <v>755</v>
      </c>
      <c r="BR89">
        <v>592</v>
      </c>
      <c r="BS89">
        <v>609</v>
      </c>
      <c r="BT89">
        <v>553</v>
      </c>
      <c r="BU89">
        <v>578</v>
      </c>
      <c r="BV89">
        <v>421</v>
      </c>
      <c r="BW89">
        <v>440</v>
      </c>
      <c r="BX89">
        <v>342</v>
      </c>
      <c r="BY89">
        <v>377</v>
      </c>
      <c r="BZ89">
        <v>332</v>
      </c>
      <c r="CA89">
        <v>292</v>
      </c>
      <c r="CB89">
        <v>763</v>
      </c>
      <c r="CC89">
        <v>670</v>
      </c>
      <c r="CD89">
        <v>9465</v>
      </c>
      <c r="CE89">
        <v>8571</v>
      </c>
      <c r="CF89">
        <v>697</v>
      </c>
      <c r="CG89">
        <v>1387</v>
      </c>
      <c r="CH89">
        <v>5958</v>
      </c>
      <c r="CI89">
        <v>816</v>
      </c>
      <c r="CJ89">
        <v>27103</v>
      </c>
      <c r="CK89">
        <v>2749</v>
      </c>
      <c r="CL89">
        <v>331</v>
      </c>
      <c r="CM89">
        <v>981</v>
      </c>
      <c r="CN89">
        <v>1153</v>
      </c>
      <c r="CO89">
        <v>1375</v>
      </c>
      <c r="CP89">
        <v>1142</v>
      </c>
      <c r="CQ89">
        <v>1792</v>
      </c>
      <c r="CR89">
        <v>5621</v>
      </c>
      <c r="CS89">
        <v>14461</v>
      </c>
      <c r="CT89">
        <v>1575</v>
      </c>
      <c r="CU89">
        <v>688</v>
      </c>
      <c r="CV89">
        <v>264</v>
      </c>
      <c r="CW89">
        <v>460</v>
      </c>
      <c r="CX89">
        <v>9</v>
      </c>
      <c r="CY89">
        <v>4912</v>
      </c>
      <c r="CZ89">
        <v>1522</v>
      </c>
      <c r="DA89">
        <v>7</v>
      </c>
      <c r="DB89">
        <v>331</v>
      </c>
      <c r="DC89">
        <v>2</v>
      </c>
      <c r="DD89">
        <v>1407</v>
      </c>
      <c r="DE89">
        <v>2340</v>
      </c>
      <c r="DF89">
        <v>3980</v>
      </c>
      <c r="DG89">
        <v>15972</v>
      </c>
      <c r="DH89">
        <v>6190</v>
      </c>
      <c r="DI89">
        <v>0</v>
      </c>
      <c r="DJ89">
        <v>0</v>
      </c>
      <c r="DK89">
        <v>0</v>
      </c>
      <c r="DL89">
        <v>0</v>
      </c>
      <c r="DM89">
        <v>29</v>
      </c>
      <c r="DN89">
        <v>14</v>
      </c>
      <c r="DO89">
        <v>11</v>
      </c>
      <c r="DP89">
        <v>15</v>
      </c>
      <c r="DQ89">
        <v>2</v>
      </c>
      <c r="DR89">
        <v>0</v>
      </c>
      <c r="DS89">
        <v>0</v>
      </c>
      <c r="DT89">
        <v>0</v>
      </c>
      <c r="DU89">
        <v>0</v>
      </c>
      <c r="DV89">
        <v>509</v>
      </c>
      <c r="DW89">
        <v>546</v>
      </c>
      <c r="DX89">
        <v>711</v>
      </c>
      <c r="DY89">
        <v>631</v>
      </c>
      <c r="DZ89">
        <v>466</v>
      </c>
      <c r="EA89">
        <v>424</v>
      </c>
      <c r="EB89">
        <v>241</v>
      </c>
      <c r="EC89">
        <v>252</v>
      </c>
      <c r="ED89">
        <v>207</v>
      </c>
      <c r="EE89">
        <v>209</v>
      </c>
      <c r="EF89">
        <v>270</v>
      </c>
      <c r="EG89">
        <v>304</v>
      </c>
      <c r="EH89">
        <v>135</v>
      </c>
      <c r="EI89">
        <v>145</v>
      </c>
      <c r="EJ89">
        <v>934</v>
      </c>
      <c r="EK89">
        <v>1147</v>
      </c>
      <c r="EL89">
        <v>763</v>
      </c>
      <c r="EM89">
        <v>424</v>
      </c>
      <c r="EN89">
        <v>353</v>
      </c>
      <c r="EO89">
        <v>480</v>
      </c>
      <c r="EP89">
        <v>236</v>
      </c>
      <c r="EQ89">
        <v>8750</v>
      </c>
      <c r="ER89">
        <v>8676</v>
      </c>
      <c r="ES89">
        <v>74</v>
      </c>
      <c r="ET89">
        <v>1810</v>
      </c>
      <c r="EU89">
        <v>4795</v>
      </c>
      <c r="EV89">
        <v>4779</v>
      </c>
      <c r="EW89">
        <v>16</v>
      </c>
      <c r="EX89">
        <v>5747</v>
      </c>
      <c r="EY89" s="26">
        <v>80.368727000000007</v>
      </c>
      <c r="EZ89" s="26">
        <v>3.6189819999999999</v>
      </c>
      <c r="FA89" s="26">
        <v>6.7372249999999996</v>
      </c>
      <c r="FB89" s="26">
        <v>9.0815979999999996</v>
      </c>
      <c r="FC89" s="26">
        <v>0.193468</v>
      </c>
      <c r="FD89">
        <v>1561</v>
      </c>
      <c r="FE89">
        <v>4999</v>
      </c>
      <c r="FF89">
        <v>888</v>
      </c>
      <c r="FG89">
        <v>2997</v>
      </c>
      <c r="FH89">
        <v>5</v>
      </c>
      <c r="FI89">
        <v>2631</v>
      </c>
      <c r="FJ89">
        <v>457</v>
      </c>
      <c r="FK89" s="26" t="s">
        <v>359</v>
      </c>
      <c r="FL89" s="26" t="s">
        <v>359</v>
      </c>
      <c r="FM89" s="26" t="s">
        <v>359</v>
      </c>
      <c r="FN89" s="26" t="s">
        <v>359</v>
      </c>
      <c r="FO89" s="28">
        <v>12711</v>
      </c>
      <c r="FP89" s="28">
        <v>2209</v>
      </c>
      <c r="FQ89">
        <v>1031</v>
      </c>
      <c r="FR89">
        <v>95</v>
      </c>
      <c r="FS89">
        <v>4</v>
      </c>
      <c r="FT89">
        <v>33</v>
      </c>
      <c r="FU89">
        <v>10115</v>
      </c>
      <c r="FV89">
        <v>9</v>
      </c>
      <c r="FW89">
        <v>63</v>
      </c>
      <c r="FX89">
        <v>1</v>
      </c>
      <c r="FY89">
        <v>12819</v>
      </c>
      <c r="FZ89">
        <v>2147</v>
      </c>
      <c r="GA89">
        <v>995</v>
      </c>
      <c r="GB89">
        <v>65</v>
      </c>
      <c r="GC89">
        <v>7</v>
      </c>
      <c r="GD89">
        <v>31</v>
      </c>
      <c r="GE89">
        <v>10291</v>
      </c>
      <c r="GF89">
        <v>8</v>
      </c>
      <c r="GG89">
        <v>44</v>
      </c>
      <c r="GH89">
        <v>2</v>
      </c>
      <c r="GI89">
        <v>1315</v>
      </c>
      <c r="GJ89">
        <v>1624</v>
      </c>
      <c r="GK89">
        <v>1462</v>
      </c>
      <c r="GL89">
        <v>1296</v>
      </c>
      <c r="GM89">
        <v>1121</v>
      </c>
      <c r="GN89">
        <v>999</v>
      </c>
      <c r="GO89">
        <v>929</v>
      </c>
      <c r="GP89">
        <v>852</v>
      </c>
      <c r="GQ89">
        <v>668</v>
      </c>
      <c r="GR89">
        <v>619</v>
      </c>
      <c r="GS89">
        <v>427</v>
      </c>
      <c r="GT89">
        <v>343</v>
      </c>
      <c r="GU89">
        <v>334</v>
      </c>
      <c r="GV89">
        <v>239</v>
      </c>
      <c r="GW89">
        <v>211</v>
      </c>
      <c r="GX89">
        <v>151</v>
      </c>
      <c r="GY89">
        <v>68</v>
      </c>
      <c r="GZ89">
        <v>53</v>
      </c>
      <c r="HA89">
        <v>1319</v>
      </c>
      <c r="HB89">
        <v>1604</v>
      </c>
      <c r="HC89">
        <v>1465</v>
      </c>
      <c r="HD89">
        <v>1241</v>
      </c>
      <c r="HE89">
        <v>1122</v>
      </c>
      <c r="HF89">
        <v>1059</v>
      </c>
      <c r="HG89">
        <v>974</v>
      </c>
      <c r="HH89">
        <v>874</v>
      </c>
      <c r="HI89">
        <v>714</v>
      </c>
      <c r="HJ89">
        <v>624</v>
      </c>
      <c r="HK89">
        <v>457</v>
      </c>
      <c r="HL89">
        <v>392</v>
      </c>
      <c r="HM89">
        <v>293</v>
      </c>
      <c r="HN89">
        <v>249</v>
      </c>
      <c r="HO89">
        <v>176</v>
      </c>
      <c r="HP89">
        <v>132</v>
      </c>
      <c r="HQ89">
        <v>68</v>
      </c>
      <c r="HR89">
        <v>56</v>
      </c>
      <c r="HS89">
        <v>6047</v>
      </c>
      <c r="HT89">
        <v>2</v>
      </c>
      <c r="HU89">
        <v>2</v>
      </c>
      <c r="HV89">
        <v>0</v>
      </c>
      <c r="HW89">
        <v>3</v>
      </c>
      <c r="HX89">
        <v>0</v>
      </c>
      <c r="HY89">
        <v>0</v>
      </c>
      <c r="HZ89">
        <v>7</v>
      </c>
      <c r="IA89">
        <v>329</v>
      </c>
      <c r="IB89">
        <v>981</v>
      </c>
      <c r="IC89">
        <v>1153</v>
      </c>
      <c r="ID89">
        <v>1375</v>
      </c>
      <c r="IE89">
        <v>1142</v>
      </c>
      <c r="IF89">
        <v>772</v>
      </c>
      <c r="IG89">
        <v>470</v>
      </c>
      <c r="IH89">
        <v>265</v>
      </c>
      <c r="II89">
        <v>284</v>
      </c>
      <c r="IJ89">
        <v>388</v>
      </c>
      <c r="IK89">
        <v>2866</v>
      </c>
      <c r="IL89">
        <v>2216</v>
      </c>
      <c r="IM89">
        <v>925</v>
      </c>
      <c r="IN89">
        <v>255</v>
      </c>
      <c r="IO89">
        <v>91</v>
      </c>
      <c r="IP89">
        <v>22</v>
      </c>
      <c r="IQ89">
        <v>7</v>
      </c>
      <c r="IR89">
        <v>1</v>
      </c>
      <c r="IS89">
        <v>3482</v>
      </c>
      <c r="IT89">
        <v>2539</v>
      </c>
      <c r="IU89">
        <v>584</v>
      </c>
      <c r="IV89">
        <v>136</v>
      </c>
      <c r="IW89">
        <v>30</v>
      </c>
      <c r="IX89">
        <v>1753</v>
      </c>
      <c r="IY89">
        <v>1955</v>
      </c>
      <c r="IZ89">
        <v>59</v>
      </c>
      <c r="JA89">
        <v>58</v>
      </c>
      <c r="JB89">
        <v>1</v>
      </c>
      <c r="JC89">
        <v>262</v>
      </c>
      <c r="JD89">
        <v>5534</v>
      </c>
      <c r="JE89">
        <v>1234</v>
      </c>
      <c r="JF89">
        <v>3</v>
      </c>
      <c r="JH89" s="28">
        <v>4787.5639191377368</v>
      </c>
      <c r="JI89" s="28">
        <v>337.17870699855519</v>
      </c>
      <c r="JJ89">
        <v>1431</v>
      </c>
      <c r="JK89">
        <v>5275</v>
      </c>
      <c r="JL89">
        <v>65</v>
      </c>
      <c r="JM89">
        <v>0</v>
      </c>
      <c r="JN89">
        <v>2273</v>
      </c>
      <c r="JO89">
        <v>264</v>
      </c>
      <c r="JP89">
        <v>135</v>
      </c>
      <c r="JQ89">
        <v>1845</v>
      </c>
      <c r="JR89">
        <v>3244</v>
      </c>
      <c r="JS89">
        <v>90</v>
      </c>
      <c r="JT89">
        <v>25</v>
      </c>
      <c r="JU89">
        <v>1500</v>
      </c>
      <c r="JV89">
        <v>58</v>
      </c>
      <c r="JW89" s="28"/>
      <c r="JX89" s="28"/>
      <c r="JY89" s="28"/>
      <c r="JZ89" s="28"/>
      <c r="KA89" s="28">
        <v>6639.0000320999998</v>
      </c>
      <c r="KB89">
        <v>26993</v>
      </c>
      <c r="KC89">
        <v>12</v>
      </c>
      <c r="KD89">
        <v>3</v>
      </c>
      <c r="KE89">
        <v>0</v>
      </c>
      <c r="KF89">
        <v>9</v>
      </c>
      <c r="KG89">
        <v>0</v>
      </c>
      <c r="KH89">
        <v>0</v>
      </c>
      <c r="KI89">
        <v>33</v>
      </c>
      <c r="KJ89">
        <v>6840</v>
      </c>
      <c r="KK89">
        <v>22744</v>
      </c>
      <c r="KL89">
        <v>259</v>
      </c>
      <c r="KM89">
        <v>0</v>
      </c>
      <c r="KT89">
        <v>4611</v>
      </c>
      <c r="KU89">
        <v>4431</v>
      </c>
      <c r="KV89">
        <v>3909</v>
      </c>
      <c r="KW89">
        <v>473</v>
      </c>
      <c r="KX89">
        <v>79</v>
      </c>
      <c r="KZ89">
        <v>3825</v>
      </c>
      <c r="LA89">
        <v>390</v>
      </c>
      <c r="LB89">
        <v>58</v>
      </c>
      <c r="LD89">
        <v>2423</v>
      </c>
      <c r="LE89">
        <v>2461</v>
      </c>
      <c r="LF89">
        <v>1420</v>
      </c>
      <c r="LG89">
        <v>2479</v>
      </c>
      <c r="LH89">
        <v>19278</v>
      </c>
      <c r="LI89">
        <v>25</v>
      </c>
      <c r="LJ89">
        <v>1435</v>
      </c>
      <c r="LK89">
        <v>483</v>
      </c>
      <c r="LL89">
        <v>2156</v>
      </c>
      <c r="LM89">
        <v>5</v>
      </c>
      <c r="LN89">
        <v>1719</v>
      </c>
      <c r="LO89">
        <v>262</v>
      </c>
      <c r="LP89">
        <v>34</v>
      </c>
      <c r="LQ89">
        <v>1311</v>
      </c>
      <c r="LR89">
        <v>421</v>
      </c>
      <c r="LS89">
        <v>2305</v>
      </c>
      <c r="LT89">
        <v>5</v>
      </c>
      <c r="LU89">
        <v>1224</v>
      </c>
      <c r="LV89">
        <v>127</v>
      </c>
      <c r="LW89" s="44"/>
      <c r="LX89" s="44"/>
      <c r="LY89" s="44"/>
      <c r="LZ89">
        <v>6771</v>
      </c>
      <c r="MA89">
        <v>29843</v>
      </c>
      <c r="MB89">
        <v>26921</v>
      </c>
      <c r="MC89">
        <v>19320</v>
      </c>
      <c r="MD89" s="26">
        <v>20.225127000000001</v>
      </c>
      <c r="ME89" s="26">
        <v>6.5552489999999999</v>
      </c>
      <c r="MF89" s="26">
        <v>53.081232</v>
      </c>
      <c r="MG89" s="26">
        <v>14.573924</v>
      </c>
      <c r="MH89" s="26">
        <v>21.134249000000001</v>
      </c>
      <c r="MI89" s="26">
        <v>1.0928959999999999</v>
      </c>
      <c r="MJ89" s="26">
        <v>12.184315</v>
      </c>
      <c r="MK89" s="26">
        <v>18.224781999999998</v>
      </c>
      <c r="ML89" s="26">
        <v>1.9494899999999999</v>
      </c>
      <c r="MM89" s="26">
        <v>96.101018999999994</v>
      </c>
      <c r="MN89" s="26">
        <v>66.430364999999995</v>
      </c>
      <c r="MO89" s="26">
        <v>1.3649959999999999</v>
      </c>
      <c r="MP89" t="s">
        <v>1028</v>
      </c>
      <c r="MQ89">
        <v>259</v>
      </c>
      <c r="MR89">
        <v>28</v>
      </c>
    </row>
    <row r="90" spans="1:356">
      <c r="A90" t="s">
        <v>191</v>
      </c>
      <c r="B90" t="s">
        <v>192</v>
      </c>
      <c r="C90">
        <v>49300</v>
      </c>
      <c r="D90">
        <v>57253</v>
      </c>
      <c r="E90">
        <v>64251</v>
      </c>
      <c r="F90">
        <f t="shared" si="4"/>
        <v>6998</v>
      </c>
      <c r="G90" s="26">
        <f t="shared" si="5"/>
        <v>12.222940282605293</v>
      </c>
      <c r="H90">
        <v>31846</v>
      </c>
      <c r="I90">
        <v>32405</v>
      </c>
      <c r="J90">
        <v>6181</v>
      </c>
      <c r="K90">
        <v>58070</v>
      </c>
      <c r="L90">
        <v>3320</v>
      </c>
      <c r="M90">
        <v>3865</v>
      </c>
      <c r="N90">
        <v>3744</v>
      </c>
      <c r="O90">
        <v>3263</v>
      </c>
      <c r="P90">
        <v>2517</v>
      </c>
      <c r="Q90">
        <v>2266</v>
      </c>
      <c r="R90">
        <v>2188</v>
      </c>
      <c r="S90">
        <v>1947</v>
      </c>
      <c r="T90">
        <v>1702</v>
      </c>
      <c r="U90">
        <v>1623</v>
      </c>
      <c r="V90">
        <v>1439</v>
      </c>
      <c r="W90">
        <v>1025</v>
      </c>
      <c r="X90">
        <v>940</v>
      </c>
      <c r="Y90">
        <v>2007</v>
      </c>
      <c r="Z90">
        <v>0</v>
      </c>
      <c r="AA90">
        <v>3271</v>
      </c>
      <c r="AB90">
        <v>3777</v>
      </c>
      <c r="AC90">
        <v>3753</v>
      </c>
      <c r="AD90">
        <v>3227</v>
      </c>
      <c r="AE90">
        <v>2639</v>
      </c>
      <c r="AF90">
        <v>2451</v>
      </c>
      <c r="AG90">
        <v>2310</v>
      </c>
      <c r="AH90">
        <v>2150</v>
      </c>
      <c r="AI90">
        <v>1826</v>
      </c>
      <c r="AJ90">
        <v>1692</v>
      </c>
      <c r="AK90">
        <v>1497</v>
      </c>
      <c r="AL90">
        <v>1096</v>
      </c>
      <c r="AM90">
        <v>893</v>
      </c>
      <c r="AN90">
        <v>1823</v>
      </c>
      <c r="AO90">
        <v>0</v>
      </c>
      <c r="AP90">
        <v>62715</v>
      </c>
      <c r="AQ90">
        <v>1492</v>
      </c>
      <c r="AR90">
        <v>0</v>
      </c>
      <c r="AS90">
        <v>19</v>
      </c>
      <c r="AT90">
        <v>25</v>
      </c>
      <c r="AU90">
        <v>49491</v>
      </c>
      <c r="AV90">
        <v>24584</v>
      </c>
      <c r="AW90">
        <v>24907</v>
      </c>
      <c r="AX90">
        <v>34108</v>
      </c>
      <c r="AY90">
        <v>44407</v>
      </c>
      <c r="AZ90">
        <v>43389</v>
      </c>
      <c r="BA90">
        <v>1018</v>
      </c>
      <c r="BB90">
        <v>1075</v>
      </c>
      <c r="BC90">
        <v>1084</v>
      </c>
      <c r="BD90">
        <v>3120</v>
      </c>
      <c r="BE90">
        <v>3059</v>
      </c>
      <c r="BF90">
        <v>3068</v>
      </c>
      <c r="BG90">
        <v>3110</v>
      </c>
      <c r="BH90">
        <v>2686</v>
      </c>
      <c r="BI90">
        <v>2714</v>
      </c>
      <c r="BJ90">
        <v>2102</v>
      </c>
      <c r="BK90">
        <v>2140</v>
      </c>
      <c r="BL90">
        <v>1865</v>
      </c>
      <c r="BM90">
        <v>1963</v>
      </c>
      <c r="BN90">
        <v>1821</v>
      </c>
      <c r="BO90">
        <v>1853</v>
      </c>
      <c r="BP90">
        <v>1587</v>
      </c>
      <c r="BQ90">
        <v>1755</v>
      </c>
      <c r="BR90">
        <v>1390</v>
      </c>
      <c r="BS90">
        <v>1484</v>
      </c>
      <c r="BT90">
        <v>1355</v>
      </c>
      <c r="BU90">
        <v>1425</v>
      </c>
      <c r="BV90">
        <v>1202</v>
      </c>
      <c r="BW90">
        <v>1237</v>
      </c>
      <c r="BX90">
        <v>850</v>
      </c>
      <c r="BY90">
        <v>923</v>
      </c>
      <c r="BZ90">
        <v>782</v>
      </c>
      <c r="CA90">
        <v>707</v>
      </c>
      <c r="CB90">
        <v>1681</v>
      </c>
      <c r="CC90">
        <v>1453</v>
      </c>
      <c r="CD90">
        <v>20883</v>
      </c>
      <c r="CE90">
        <v>17774</v>
      </c>
      <c r="CF90">
        <v>3465</v>
      </c>
      <c r="CG90">
        <v>6866</v>
      </c>
      <c r="CH90">
        <v>12411</v>
      </c>
      <c r="CI90">
        <v>2338</v>
      </c>
      <c r="CJ90">
        <v>55556</v>
      </c>
      <c r="CK90">
        <v>8209</v>
      </c>
      <c r="CL90">
        <v>847</v>
      </c>
      <c r="CM90">
        <v>2225</v>
      </c>
      <c r="CN90">
        <v>2700</v>
      </c>
      <c r="CO90">
        <v>3013</v>
      </c>
      <c r="CP90">
        <v>2241</v>
      </c>
      <c r="CQ90">
        <v>3723</v>
      </c>
      <c r="CR90">
        <v>12084</v>
      </c>
      <c r="CS90">
        <v>30900</v>
      </c>
      <c r="CT90">
        <v>2978</v>
      </c>
      <c r="CU90">
        <v>1230</v>
      </c>
      <c r="CV90">
        <v>547</v>
      </c>
      <c r="CW90">
        <v>1228</v>
      </c>
      <c r="CX90">
        <v>49</v>
      </c>
      <c r="CY90">
        <v>10850</v>
      </c>
      <c r="CZ90">
        <v>3014</v>
      </c>
      <c r="DA90">
        <v>29</v>
      </c>
      <c r="DB90">
        <v>847</v>
      </c>
      <c r="DC90">
        <v>9</v>
      </c>
      <c r="DD90">
        <v>4037</v>
      </c>
      <c r="DE90">
        <v>7414</v>
      </c>
      <c r="DF90">
        <v>16080</v>
      </c>
      <c r="DG90">
        <v>30539</v>
      </c>
      <c r="DH90">
        <v>0</v>
      </c>
      <c r="DI90">
        <v>6181</v>
      </c>
      <c r="DJ90">
        <v>0</v>
      </c>
      <c r="DK90">
        <v>0</v>
      </c>
      <c r="DL90">
        <v>0</v>
      </c>
      <c r="DM90">
        <v>186</v>
      </c>
      <c r="DN90">
        <v>47</v>
      </c>
      <c r="DO90">
        <v>47</v>
      </c>
      <c r="DP90">
        <v>34</v>
      </c>
      <c r="DQ90">
        <v>0</v>
      </c>
      <c r="DR90">
        <v>1</v>
      </c>
      <c r="DS90">
        <v>0</v>
      </c>
      <c r="DT90">
        <v>0</v>
      </c>
      <c r="DU90">
        <v>0</v>
      </c>
      <c r="DV90">
        <v>1018</v>
      </c>
      <c r="DW90">
        <v>1140</v>
      </c>
      <c r="DX90">
        <v>1635</v>
      </c>
      <c r="DY90">
        <v>1719</v>
      </c>
      <c r="DZ90">
        <v>1036</v>
      </c>
      <c r="EA90">
        <v>1031</v>
      </c>
      <c r="EB90">
        <v>541</v>
      </c>
      <c r="EC90">
        <v>571</v>
      </c>
      <c r="ED90">
        <v>482</v>
      </c>
      <c r="EE90">
        <v>570</v>
      </c>
      <c r="EF90">
        <v>628</v>
      </c>
      <c r="EG90">
        <v>688</v>
      </c>
      <c r="EH90">
        <v>490</v>
      </c>
      <c r="EI90">
        <v>464</v>
      </c>
      <c r="EJ90">
        <v>1787</v>
      </c>
      <c r="EK90">
        <v>2648</v>
      </c>
      <c r="EL90">
        <v>1662</v>
      </c>
      <c r="EM90">
        <v>902</v>
      </c>
      <c r="EN90">
        <v>870</v>
      </c>
      <c r="EO90">
        <v>1076</v>
      </c>
      <c r="EP90">
        <v>802</v>
      </c>
      <c r="EQ90">
        <v>19562</v>
      </c>
      <c r="ER90">
        <v>19296</v>
      </c>
      <c r="ES90">
        <v>266</v>
      </c>
      <c r="ET90">
        <v>3387</v>
      </c>
      <c r="EU90">
        <v>14282</v>
      </c>
      <c r="EV90">
        <v>14206</v>
      </c>
      <c r="EW90">
        <v>76</v>
      </c>
      <c r="EX90">
        <v>9490</v>
      </c>
      <c r="EY90" s="26">
        <v>80.426432000000005</v>
      </c>
      <c r="EZ90" s="26">
        <v>4.6150419999999999</v>
      </c>
      <c r="FA90" s="26">
        <v>4.5593719999999998</v>
      </c>
      <c r="FB90" s="26">
        <v>10.22101</v>
      </c>
      <c r="FC90" s="26">
        <v>0.178144</v>
      </c>
      <c r="FD90">
        <v>6190</v>
      </c>
      <c r="FE90">
        <v>10988</v>
      </c>
      <c r="FF90">
        <v>2031</v>
      </c>
      <c r="FG90">
        <v>6623</v>
      </c>
      <c r="FH90">
        <v>24</v>
      </c>
      <c r="FI90">
        <v>6456</v>
      </c>
      <c r="FJ90">
        <v>1518</v>
      </c>
      <c r="FK90" s="26" t="s">
        <v>359</v>
      </c>
      <c r="FL90" s="26" t="s">
        <v>359</v>
      </c>
      <c r="FM90" s="26" t="s">
        <v>359</v>
      </c>
      <c r="FN90" s="26" t="s">
        <v>359</v>
      </c>
      <c r="FO90" s="28">
        <v>25697</v>
      </c>
      <c r="FP90" s="28">
        <v>6136</v>
      </c>
      <c r="FQ90">
        <v>2862</v>
      </c>
      <c r="FR90">
        <v>425</v>
      </c>
      <c r="FS90">
        <v>45</v>
      </c>
      <c r="FT90">
        <v>73</v>
      </c>
      <c r="FU90">
        <v>21620</v>
      </c>
      <c r="FV90">
        <v>20</v>
      </c>
      <c r="FW90">
        <v>241</v>
      </c>
      <c r="FX90">
        <v>13</v>
      </c>
      <c r="FY90">
        <v>26824</v>
      </c>
      <c r="FZ90">
        <v>5573</v>
      </c>
      <c r="GA90">
        <v>2886</v>
      </c>
      <c r="GB90">
        <v>472</v>
      </c>
      <c r="GC90">
        <v>58</v>
      </c>
      <c r="GD90">
        <v>35</v>
      </c>
      <c r="GE90">
        <v>22646</v>
      </c>
      <c r="GF90">
        <v>7</v>
      </c>
      <c r="GG90">
        <v>265</v>
      </c>
      <c r="GH90">
        <v>8</v>
      </c>
      <c r="GI90">
        <v>2517</v>
      </c>
      <c r="GJ90">
        <v>3274</v>
      </c>
      <c r="GK90">
        <v>3140</v>
      </c>
      <c r="GL90">
        <v>2656</v>
      </c>
      <c r="GM90">
        <v>1869</v>
      </c>
      <c r="GN90">
        <v>1790</v>
      </c>
      <c r="GO90">
        <v>1758</v>
      </c>
      <c r="GP90">
        <v>1589</v>
      </c>
      <c r="GQ90">
        <v>1396</v>
      </c>
      <c r="GR90">
        <v>1333</v>
      </c>
      <c r="GS90">
        <v>1176</v>
      </c>
      <c r="GT90">
        <v>841</v>
      </c>
      <c r="GU90">
        <v>727</v>
      </c>
      <c r="GV90">
        <v>635</v>
      </c>
      <c r="GW90">
        <v>344</v>
      </c>
      <c r="GX90">
        <v>315</v>
      </c>
      <c r="GY90">
        <v>187</v>
      </c>
      <c r="GZ90">
        <v>150</v>
      </c>
      <c r="HA90">
        <v>2535</v>
      </c>
      <c r="HB90">
        <v>3107</v>
      </c>
      <c r="HC90">
        <v>3163</v>
      </c>
      <c r="HD90">
        <v>2597</v>
      </c>
      <c r="HE90">
        <v>2093</v>
      </c>
      <c r="HF90">
        <v>2033</v>
      </c>
      <c r="HG90">
        <v>1986</v>
      </c>
      <c r="HH90">
        <v>1830</v>
      </c>
      <c r="HI90">
        <v>1581</v>
      </c>
      <c r="HJ90">
        <v>1441</v>
      </c>
      <c r="HK90">
        <v>1273</v>
      </c>
      <c r="HL90">
        <v>910</v>
      </c>
      <c r="HM90">
        <v>736</v>
      </c>
      <c r="HN90">
        <v>567</v>
      </c>
      <c r="HO90">
        <v>388</v>
      </c>
      <c r="HP90">
        <v>263</v>
      </c>
      <c r="HQ90">
        <v>175</v>
      </c>
      <c r="HR90">
        <v>146</v>
      </c>
      <c r="HS90">
        <v>10606</v>
      </c>
      <c r="HT90">
        <v>0</v>
      </c>
      <c r="HU90">
        <v>1</v>
      </c>
      <c r="HV90">
        <v>0</v>
      </c>
      <c r="HW90">
        <v>19</v>
      </c>
      <c r="HX90">
        <v>0</v>
      </c>
      <c r="HY90">
        <v>4</v>
      </c>
      <c r="HZ90">
        <v>1</v>
      </c>
      <c r="IA90">
        <v>845</v>
      </c>
      <c r="IB90">
        <v>2222</v>
      </c>
      <c r="IC90">
        <v>2695</v>
      </c>
      <c r="ID90">
        <v>3009</v>
      </c>
      <c r="IE90">
        <v>2238</v>
      </c>
      <c r="IF90">
        <v>1542</v>
      </c>
      <c r="IG90">
        <v>935</v>
      </c>
      <c r="IH90">
        <v>569</v>
      </c>
      <c r="II90">
        <v>671</v>
      </c>
      <c r="IJ90">
        <v>1887</v>
      </c>
      <c r="IK90">
        <v>6034</v>
      </c>
      <c r="IL90">
        <v>4184</v>
      </c>
      <c r="IM90">
        <v>1706</v>
      </c>
      <c r="IN90">
        <v>613</v>
      </c>
      <c r="IO90">
        <v>200</v>
      </c>
      <c r="IP90">
        <v>65</v>
      </c>
      <c r="IQ90">
        <v>20</v>
      </c>
      <c r="IR90">
        <v>16</v>
      </c>
      <c r="IS90">
        <v>7831</v>
      </c>
      <c r="IT90">
        <v>5239</v>
      </c>
      <c r="IU90">
        <v>1146</v>
      </c>
      <c r="IV90">
        <v>416</v>
      </c>
      <c r="IW90">
        <v>93</v>
      </c>
      <c r="IX90">
        <v>4324</v>
      </c>
      <c r="IY90">
        <v>4988</v>
      </c>
      <c r="IZ90">
        <v>23</v>
      </c>
      <c r="JA90">
        <v>42</v>
      </c>
      <c r="JB90">
        <v>6</v>
      </c>
      <c r="JC90">
        <v>415</v>
      </c>
      <c r="JD90">
        <v>13163</v>
      </c>
      <c r="JE90">
        <v>1561</v>
      </c>
      <c r="JF90">
        <v>2</v>
      </c>
      <c r="JH90" s="28">
        <v>9042.0383962399846</v>
      </c>
      <c r="JI90" s="28">
        <v>2216.9300300385253</v>
      </c>
      <c r="JJ90">
        <v>2434</v>
      </c>
      <c r="JK90">
        <v>11907</v>
      </c>
      <c r="JL90">
        <v>384</v>
      </c>
      <c r="JM90">
        <v>1</v>
      </c>
      <c r="JN90">
        <v>6760</v>
      </c>
      <c r="JO90">
        <v>2166</v>
      </c>
      <c r="JP90">
        <v>694</v>
      </c>
      <c r="JQ90">
        <v>6993</v>
      </c>
      <c r="JR90">
        <v>8485</v>
      </c>
      <c r="JS90">
        <v>572</v>
      </c>
      <c r="JT90">
        <v>300</v>
      </c>
      <c r="JU90">
        <v>4685</v>
      </c>
      <c r="JV90">
        <v>697</v>
      </c>
      <c r="JW90" s="28"/>
      <c r="JX90" s="28"/>
      <c r="JY90" s="28"/>
      <c r="JZ90" s="28"/>
      <c r="KA90" s="28">
        <v>14200.999987020001</v>
      </c>
      <c r="KB90">
        <v>47484</v>
      </c>
      <c r="KC90">
        <v>0</v>
      </c>
      <c r="KD90">
        <v>4</v>
      </c>
      <c r="KE90">
        <v>0</v>
      </c>
      <c r="KF90">
        <v>73</v>
      </c>
      <c r="KG90">
        <v>0</v>
      </c>
      <c r="KH90">
        <v>29</v>
      </c>
      <c r="KI90">
        <v>6</v>
      </c>
      <c r="KJ90">
        <v>11103</v>
      </c>
      <c r="KK90">
        <v>51093</v>
      </c>
      <c r="KL90">
        <v>1464</v>
      </c>
      <c r="KM90">
        <v>3</v>
      </c>
      <c r="KT90">
        <v>10422</v>
      </c>
      <c r="KU90">
        <v>10087</v>
      </c>
      <c r="KV90">
        <v>8698</v>
      </c>
      <c r="KW90">
        <v>1162</v>
      </c>
      <c r="KX90">
        <v>219</v>
      </c>
      <c r="KZ90">
        <v>8447</v>
      </c>
      <c r="LA90">
        <v>1059</v>
      </c>
      <c r="LB90">
        <v>199</v>
      </c>
      <c r="LD90">
        <v>5764</v>
      </c>
      <c r="LE90">
        <v>5759</v>
      </c>
      <c r="LF90">
        <v>3239</v>
      </c>
      <c r="LG90">
        <v>6600</v>
      </c>
      <c r="LH90">
        <v>42521</v>
      </c>
      <c r="LI90">
        <v>66</v>
      </c>
      <c r="LJ90">
        <v>3391</v>
      </c>
      <c r="LK90">
        <v>885</v>
      </c>
      <c r="LL90">
        <v>4300</v>
      </c>
      <c r="LM90">
        <v>20</v>
      </c>
      <c r="LN90">
        <v>3649</v>
      </c>
      <c r="LO90">
        <v>703</v>
      </c>
      <c r="LP90">
        <v>78</v>
      </c>
      <c r="LQ90">
        <v>2958</v>
      </c>
      <c r="LR90">
        <v>767</v>
      </c>
      <c r="LS90">
        <v>4029</v>
      </c>
      <c r="LT90">
        <v>20</v>
      </c>
      <c r="LU90">
        <v>2795</v>
      </c>
      <c r="LV90">
        <v>497</v>
      </c>
      <c r="LW90" s="44"/>
      <c r="LX90" s="44"/>
      <c r="LY90" s="44"/>
      <c r="LZ90">
        <v>14726</v>
      </c>
      <c r="MA90">
        <v>63663</v>
      </c>
      <c r="MB90">
        <v>63446</v>
      </c>
      <c r="MC90">
        <v>49904</v>
      </c>
      <c r="MD90" s="26">
        <v>23.139154999999999</v>
      </c>
      <c r="ME90" s="26">
        <v>7.2097099999999994</v>
      </c>
      <c r="MF90" s="26">
        <v>55.160978999999998</v>
      </c>
      <c r="MG90" s="26">
        <v>18.223841</v>
      </c>
      <c r="MH90" s="26">
        <v>16.528589</v>
      </c>
      <c r="MI90" s="26">
        <v>7.8025259999999994</v>
      </c>
      <c r="MJ90" s="26">
        <v>7.9451309999999999</v>
      </c>
      <c r="MK90" s="26">
        <v>10.600299</v>
      </c>
      <c r="ML90" s="26">
        <v>3.5651229999999998</v>
      </c>
      <c r="MM90" s="26">
        <v>85.291320999999996</v>
      </c>
      <c r="MN90" s="26">
        <v>54.094797999999997</v>
      </c>
      <c r="MO90" s="26">
        <v>1.2469699999999999</v>
      </c>
      <c r="MP90" t="s">
        <v>1028</v>
      </c>
      <c r="MQ90">
        <v>297</v>
      </c>
      <c r="MR90">
        <v>34</v>
      </c>
    </row>
    <row r="91" spans="1:356">
      <c r="A91" t="s">
        <v>271</v>
      </c>
      <c r="B91" t="s">
        <v>272</v>
      </c>
      <c r="C91">
        <v>3423</v>
      </c>
      <c r="D91">
        <v>4545</v>
      </c>
      <c r="E91">
        <v>6047</v>
      </c>
      <c r="F91">
        <f t="shared" si="4"/>
        <v>1502</v>
      </c>
      <c r="G91" s="26">
        <f t="shared" si="5"/>
        <v>33.04730473047303</v>
      </c>
      <c r="H91">
        <v>2928</v>
      </c>
      <c r="I91">
        <v>3119</v>
      </c>
      <c r="J91">
        <v>3869</v>
      </c>
      <c r="K91">
        <v>2178</v>
      </c>
      <c r="L91">
        <v>407</v>
      </c>
      <c r="M91">
        <v>457</v>
      </c>
      <c r="N91">
        <v>398</v>
      </c>
      <c r="O91">
        <v>283</v>
      </c>
      <c r="P91">
        <v>283</v>
      </c>
      <c r="Q91">
        <v>221</v>
      </c>
      <c r="R91">
        <v>178</v>
      </c>
      <c r="S91">
        <v>151</v>
      </c>
      <c r="T91">
        <v>147</v>
      </c>
      <c r="U91">
        <v>106</v>
      </c>
      <c r="V91">
        <v>80</v>
      </c>
      <c r="W91">
        <v>62</v>
      </c>
      <c r="X91">
        <v>36</v>
      </c>
      <c r="Y91">
        <v>119</v>
      </c>
      <c r="Z91">
        <v>0</v>
      </c>
      <c r="AA91">
        <v>391</v>
      </c>
      <c r="AB91">
        <v>461</v>
      </c>
      <c r="AC91">
        <v>421</v>
      </c>
      <c r="AD91">
        <v>318</v>
      </c>
      <c r="AE91">
        <v>327</v>
      </c>
      <c r="AF91">
        <v>236</v>
      </c>
      <c r="AG91">
        <v>231</v>
      </c>
      <c r="AH91">
        <v>154</v>
      </c>
      <c r="AI91">
        <v>149</v>
      </c>
      <c r="AJ91">
        <v>92</v>
      </c>
      <c r="AK91">
        <v>92</v>
      </c>
      <c r="AL91">
        <v>63</v>
      </c>
      <c r="AM91">
        <v>52</v>
      </c>
      <c r="AN91">
        <v>132</v>
      </c>
      <c r="AO91">
        <v>0</v>
      </c>
      <c r="AP91">
        <v>6045</v>
      </c>
      <c r="AQ91">
        <v>2</v>
      </c>
      <c r="AR91">
        <v>0</v>
      </c>
      <c r="AS91">
        <v>0</v>
      </c>
      <c r="AT91">
        <v>0</v>
      </c>
      <c r="AU91">
        <v>5187</v>
      </c>
      <c r="AV91">
        <v>2525</v>
      </c>
      <c r="AW91">
        <v>2662</v>
      </c>
      <c r="AX91">
        <v>2290</v>
      </c>
      <c r="AY91">
        <v>3912</v>
      </c>
      <c r="AZ91">
        <v>1229</v>
      </c>
      <c r="BA91">
        <v>2683</v>
      </c>
      <c r="BB91">
        <v>161</v>
      </c>
      <c r="BC91">
        <v>144</v>
      </c>
      <c r="BD91">
        <v>413</v>
      </c>
      <c r="BE91">
        <v>412</v>
      </c>
      <c r="BF91">
        <v>364</v>
      </c>
      <c r="BG91">
        <v>377</v>
      </c>
      <c r="BH91">
        <v>263</v>
      </c>
      <c r="BI91">
        <v>284</v>
      </c>
      <c r="BJ91">
        <v>270</v>
      </c>
      <c r="BK91">
        <v>297</v>
      </c>
      <c r="BL91">
        <v>212</v>
      </c>
      <c r="BM91">
        <v>219</v>
      </c>
      <c r="BN91">
        <v>169</v>
      </c>
      <c r="BO91">
        <v>219</v>
      </c>
      <c r="BP91">
        <v>144</v>
      </c>
      <c r="BQ91">
        <v>148</v>
      </c>
      <c r="BR91">
        <v>140</v>
      </c>
      <c r="BS91">
        <v>147</v>
      </c>
      <c r="BT91">
        <v>104</v>
      </c>
      <c r="BU91">
        <v>89</v>
      </c>
      <c r="BV91">
        <v>78</v>
      </c>
      <c r="BW91">
        <v>90</v>
      </c>
      <c r="BX91">
        <v>59</v>
      </c>
      <c r="BY91">
        <v>59</v>
      </c>
      <c r="BZ91">
        <v>34</v>
      </c>
      <c r="CA91">
        <v>49</v>
      </c>
      <c r="CB91">
        <v>114</v>
      </c>
      <c r="CC91">
        <v>128</v>
      </c>
      <c r="CD91">
        <v>2132</v>
      </c>
      <c r="CE91">
        <v>1948</v>
      </c>
      <c r="CF91">
        <v>388</v>
      </c>
      <c r="CG91">
        <v>702</v>
      </c>
      <c r="CH91">
        <v>1125</v>
      </c>
      <c r="CI91">
        <v>186</v>
      </c>
      <c r="CJ91">
        <v>5434</v>
      </c>
      <c r="CK91">
        <v>613</v>
      </c>
      <c r="CL91">
        <v>69</v>
      </c>
      <c r="CM91">
        <v>178</v>
      </c>
      <c r="CN91">
        <v>201</v>
      </c>
      <c r="CO91">
        <v>214</v>
      </c>
      <c r="CP91">
        <v>232</v>
      </c>
      <c r="CQ91">
        <v>417</v>
      </c>
      <c r="CR91">
        <v>1087</v>
      </c>
      <c r="CS91">
        <v>3143</v>
      </c>
      <c r="CT91">
        <v>243</v>
      </c>
      <c r="CU91">
        <v>163</v>
      </c>
      <c r="CV91">
        <v>50</v>
      </c>
      <c r="CW91">
        <v>50</v>
      </c>
      <c r="CX91">
        <v>0</v>
      </c>
      <c r="CY91">
        <v>977</v>
      </c>
      <c r="CZ91">
        <v>265</v>
      </c>
      <c r="DA91">
        <v>0</v>
      </c>
      <c r="DB91">
        <v>69</v>
      </c>
      <c r="DC91">
        <v>0</v>
      </c>
      <c r="DD91">
        <v>171</v>
      </c>
      <c r="DE91">
        <v>482</v>
      </c>
      <c r="DF91">
        <v>446</v>
      </c>
      <c r="DG91">
        <v>1079</v>
      </c>
      <c r="DH91">
        <v>3869</v>
      </c>
      <c r="DI91">
        <v>0</v>
      </c>
      <c r="DJ91">
        <v>0</v>
      </c>
      <c r="DK91">
        <v>0</v>
      </c>
      <c r="DL91">
        <v>0</v>
      </c>
      <c r="DM91">
        <v>6</v>
      </c>
      <c r="DN91">
        <v>4</v>
      </c>
      <c r="DO91">
        <v>1</v>
      </c>
      <c r="DP91">
        <v>1</v>
      </c>
      <c r="DQ91">
        <v>1</v>
      </c>
      <c r="DR91">
        <v>0</v>
      </c>
      <c r="DS91">
        <v>0</v>
      </c>
      <c r="DT91">
        <v>0</v>
      </c>
      <c r="DU91">
        <v>0</v>
      </c>
      <c r="DV91">
        <v>84</v>
      </c>
      <c r="DW91">
        <v>107</v>
      </c>
      <c r="DX91">
        <v>116</v>
      </c>
      <c r="DY91">
        <v>124</v>
      </c>
      <c r="DZ91">
        <v>67</v>
      </c>
      <c r="EA91">
        <v>94</v>
      </c>
      <c r="EB91">
        <v>42</v>
      </c>
      <c r="EC91">
        <v>42</v>
      </c>
      <c r="ED91">
        <v>73</v>
      </c>
      <c r="EE91">
        <v>73</v>
      </c>
      <c r="EF91">
        <v>40</v>
      </c>
      <c r="EG91">
        <v>50</v>
      </c>
      <c r="EH91">
        <v>11</v>
      </c>
      <c r="EI91">
        <v>15</v>
      </c>
      <c r="EJ91">
        <v>156</v>
      </c>
      <c r="EK91">
        <v>200</v>
      </c>
      <c r="EL91">
        <v>138</v>
      </c>
      <c r="EM91">
        <v>63</v>
      </c>
      <c r="EN91">
        <v>114</v>
      </c>
      <c r="EO91">
        <v>69</v>
      </c>
      <c r="EP91">
        <v>20</v>
      </c>
      <c r="EQ91">
        <v>1524</v>
      </c>
      <c r="ER91">
        <v>1317</v>
      </c>
      <c r="ES91">
        <v>207</v>
      </c>
      <c r="ET91">
        <v>367</v>
      </c>
      <c r="EU91">
        <v>164</v>
      </c>
      <c r="EV91">
        <v>122</v>
      </c>
      <c r="EW91">
        <v>42</v>
      </c>
      <c r="EX91">
        <v>1919</v>
      </c>
      <c r="EY91" s="26">
        <v>81.141266999999999</v>
      </c>
      <c r="EZ91" s="26">
        <v>11.064717999999999</v>
      </c>
      <c r="FA91" s="26">
        <v>3.6186500000000001</v>
      </c>
      <c r="FB91" s="26">
        <v>3.8274180000000002</v>
      </c>
      <c r="FC91" s="26">
        <v>0.34794700000000001</v>
      </c>
      <c r="FD91">
        <v>322</v>
      </c>
      <c r="FE91">
        <v>861</v>
      </c>
      <c r="FF91">
        <v>64</v>
      </c>
      <c r="FG91">
        <v>309</v>
      </c>
      <c r="FH91">
        <v>0</v>
      </c>
      <c r="FI91">
        <v>123</v>
      </c>
      <c r="FJ91">
        <v>9</v>
      </c>
      <c r="FK91" s="26" t="s">
        <v>359</v>
      </c>
      <c r="FL91" s="26" t="s">
        <v>359</v>
      </c>
      <c r="FM91" s="26" t="s">
        <v>359</v>
      </c>
      <c r="FN91" s="26" t="s">
        <v>359</v>
      </c>
      <c r="FO91" s="28">
        <v>2446</v>
      </c>
      <c r="FP91" s="28">
        <v>482</v>
      </c>
      <c r="FQ91">
        <v>550</v>
      </c>
      <c r="FR91">
        <v>1</v>
      </c>
      <c r="FS91">
        <v>1</v>
      </c>
      <c r="FT91">
        <v>0</v>
      </c>
      <c r="FU91">
        <v>1596</v>
      </c>
      <c r="FV91">
        <v>62</v>
      </c>
      <c r="FW91">
        <v>0</v>
      </c>
      <c r="FX91">
        <v>0</v>
      </c>
      <c r="FY91">
        <v>2629</v>
      </c>
      <c r="FZ91">
        <v>489</v>
      </c>
      <c r="GA91">
        <v>559</v>
      </c>
      <c r="GB91">
        <v>0</v>
      </c>
      <c r="GC91">
        <v>0</v>
      </c>
      <c r="GD91">
        <v>0</v>
      </c>
      <c r="GE91">
        <v>1713</v>
      </c>
      <c r="GF91">
        <v>85</v>
      </c>
      <c r="GG91">
        <v>0</v>
      </c>
      <c r="GH91">
        <v>1</v>
      </c>
      <c r="GI91">
        <v>262</v>
      </c>
      <c r="GJ91">
        <v>385</v>
      </c>
      <c r="GK91">
        <v>358</v>
      </c>
      <c r="GL91">
        <v>245</v>
      </c>
      <c r="GM91">
        <v>235</v>
      </c>
      <c r="GN91">
        <v>179</v>
      </c>
      <c r="GO91">
        <v>161</v>
      </c>
      <c r="GP91">
        <v>131</v>
      </c>
      <c r="GQ91">
        <v>134</v>
      </c>
      <c r="GR91">
        <v>94</v>
      </c>
      <c r="GS91">
        <v>73</v>
      </c>
      <c r="GT91">
        <v>54</v>
      </c>
      <c r="GU91">
        <v>28</v>
      </c>
      <c r="GV91">
        <v>43</v>
      </c>
      <c r="GW91">
        <v>27</v>
      </c>
      <c r="GX91">
        <v>20</v>
      </c>
      <c r="GY91">
        <v>8</v>
      </c>
      <c r="GZ91">
        <v>9</v>
      </c>
      <c r="HA91">
        <v>266</v>
      </c>
      <c r="HB91">
        <v>392</v>
      </c>
      <c r="HC91">
        <v>365</v>
      </c>
      <c r="HD91">
        <v>259</v>
      </c>
      <c r="HE91">
        <v>259</v>
      </c>
      <c r="HF91">
        <v>204</v>
      </c>
      <c r="HG91">
        <v>207</v>
      </c>
      <c r="HH91">
        <v>146</v>
      </c>
      <c r="HI91">
        <v>140</v>
      </c>
      <c r="HJ91">
        <v>82</v>
      </c>
      <c r="HK91">
        <v>83</v>
      </c>
      <c r="HL91">
        <v>58</v>
      </c>
      <c r="HM91">
        <v>43</v>
      </c>
      <c r="HN91">
        <v>64</v>
      </c>
      <c r="HO91">
        <v>25</v>
      </c>
      <c r="HP91">
        <v>18</v>
      </c>
      <c r="HQ91">
        <v>7</v>
      </c>
      <c r="HR91">
        <v>11</v>
      </c>
      <c r="HS91">
        <v>1290</v>
      </c>
      <c r="HT91">
        <v>0</v>
      </c>
      <c r="HU91">
        <v>0</v>
      </c>
      <c r="HV91">
        <v>0</v>
      </c>
      <c r="HW91">
        <v>0</v>
      </c>
      <c r="HX91">
        <v>0</v>
      </c>
      <c r="HY91">
        <v>0</v>
      </c>
      <c r="HZ91">
        <v>0</v>
      </c>
      <c r="IA91">
        <v>69</v>
      </c>
      <c r="IB91">
        <v>178</v>
      </c>
      <c r="IC91">
        <v>201</v>
      </c>
      <c r="ID91">
        <v>214</v>
      </c>
      <c r="IE91">
        <v>232</v>
      </c>
      <c r="IF91">
        <v>177</v>
      </c>
      <c r="IG91">
        <v>106</v>
      </c>
      <c r="IH91">
        <v>65</v>
      </c>
      <c r="II91">
        <v>69</v>
      </c>
      <c r="IJ91">
        <v>158</v>
      </c>
      <c r="IK91">
        <v>391</v>
      </c>
      <c r="IL91">
        <v>514</v>
      </c>
      <c r="IM91">
        <v>168</v>
      </c>
      <c r="IN91">
        <v>55</v>
      </c>
      <c r="IO91">
        <v>17</v>
      </c>
      <c r="IP91">
        <v>6</v>
      </c>
      <c r="IQ91">
        <v>2</v>
      </c>
      <c r="IR91">
        <v>0</v>
      </c>
      <c r="IS91">
        <v>582</v>
      </c>
      <c r="IT91">
        <v>612</v>
      </c>
      <c r="IU91">
        <v>89</v>
      </c>
      <c r="IV91">
        <v>25</v>
      </c>
      <c r="IW91">
        <v>3</v>
      </c>
      <c r="IX91">
        <v>382</v>
      </c>
      <c r="IY91">
        <v>639</v>
      </c>
      <c r="IZ91">
        <v>1</v>
      </c>
      <c r="JA91">
        <v>11</v>
      </c>
      <c r="JB91">
        <v>0</v>
      </c>
      <c r="JC91">
        <v>23</v>
      </c>
      <c r="JD91">
        <v>1238</v>
      </c>
      <c r="JE91">
        <v>73</v>
      </c>
      <c r="JF91">
        <v>0</v>
      </c>
      <c r="JH91" s="28">
        <v>876.68752878593637</v>
      </c>
      <c r="JI91" s="28">
        <v>14.35558382364963</v>
      </c>
      <c r="JJ91">
        <v>106</v>
      </c>
      <c r="JK91">
        <v>1155</v>
      </c>
      <c r="JL91">
        <v>50</v>
      </c>
      <c r="JM91">
        <v>0</v>
      </c>
      <c r="JN91">
        <v>269</v>
      </c>
      <c r="JO91">
        <v>42</v>
      </c>
      <c r="JP91">
        <v>33</v>
      </c>
      <c r="JQ91">
        <v>210</v>
      </c>
      <c r="JR91">
        <v>484</v>
      </c>
      <c r="JS91">
        <v>11</v>
      </c>
      <c r="JT91">
        <v>6</v>
      </c>
      <c r="JU91">
        <v>413</v>
      </c>
      <c r="JV91">
        <v>23</v>
      </c>
      <c r="JW91" s="28"/>
      <c r="JX91" s="28"/>
      <c r="JY91" s="28"/>
      <c r="JZ91" s="28"/>
      <c r="KA91" s="28">
        <v>1295.9999968499999</v>
      </c>
      <c r="KB91">
        <v>5971</v>
      </c>
      <c r="KC91">
        <v>0</v>
      </c>
      <c r="KD91">
        <v>0</v>
      </c>
      <c r="KE91">
        <v>0</v>
      </c>
      <c r="KF91">
        <v>0</v>
      </c>
      <c r="KG91">
        <v>0</v>
      </c>
      <c r="KH91">
        <v>0</v>
      </c>
      <c r="KI91">
        <v>0</v>
      </c>
      <c r="KJ91">
        <v>461</v>
      </c>
      <c r="KK91">
        <v>5345</v>
      </c>
      <c r="KL91">
        <v>241</v>
      </c>
      <c r="KM91">
        <v>0</v>
      </c>
      <c r="KT91">
        <v>772</v>
      </c>
      <c r="KU91">
        <v>807</v>
      </c>
      <c r="KV91">
        <v>727</v>
      </c>
      <c r="KW91">
        <v>38</v>
      </c>
      <c r="KX91">
        <v>2</v>
      </c>
      <c r="KZ91">
        <v>747</v>
      </c>
      <c r="LA91">
        <v>53</v>
      </c>
      <c r="LB91">
        <v>3</v>
      </c>
      <c r="LD91">
        <v>476</v>
      </c>
      <c r="LE91">
        <v>521</v>
      </c>
      <c r="LF91">
        <v>348</v>
      </c>
      <c r="LG91">
        <v>685</v>
      </c>
      <c r="LH91">
        <v>3512</v>
      </c>
      <c r="LI91">
        <v>25</v>
      </c>
      <c r="LJ91">
        <v>485</v>
      </c>
      <c r="LK91">
        <v>76</v>
      </c>
      <c r="LL91">
        <v>316</v>
      </c>
      <c r="LM91">
        <v>0</v>
      </c>
      <c r="LN91">
        <v>120</v>
      </c>
      <c r="LO91">
        <v>3</v>
      </c>
      <c r="LP91">
        <v>41</v>
      </c>
      <c r="LQ91">
        <v>450</v>
      </c>
      <c r="LR91">
        <v>63</v>
      </c>
      <c r="LS91">
        <v>289</v>
      </c>
      <c r="LT91">
        <v>1</v>
      </c>
      <c r="LU91">
        <v>106</v>
      </c>
      <c r="LV91">
        <v>1</v>
      </c>
      <c r="LW91" s="44"/>
      <c r="LX91" s="44"/>
      <c r="LY91" s="44"/>
      <c r="LZ91">
        <v>1311</v>
      </c>
      <c r="MA91">
        <v>6047</v>
      </c>
      <c r="MB91">
        <v>5163</v>
      </c>
      <c r="MC91">
        <v>4527</v>
      </c>
      <c r="MD91" s="26">
        <v>29.413439999999998</v>
      </c>
      <c r="ME91" s="26">
        <v>23.636364</v>
      </c>
      <c r="MF91" s="26">
        <v>73.889521999999999</v>
      </c>
      <c r="MG91" s="26">
        <v>16.057548999999998</v>
      </c>
      <c r="MH91" s="26">
        <v>8.0854309999999998</v>
      </c>
      <c r="MI91" s="26">
        <v>2.0594969999999999</v>
      </c>
      <c r="MJ91" s="26">
        <v>1.067887</v>
      </c>
      <c r="MK91" s="26">
        <v>5.5682679999999998</v>
      </c>
      <c r="ML91" s="26">
        <v>1.1441649999999999</v>
      </c>
      <c r="MM91" s="26">
        <v>96.796338999999989</v>
      </c>
      <c r="MN91" s="26">
        <v>79.481312000000003</v>
      </c>
      <c r="MO91" s="26">
        <v>1.6947509999999999</v>
      </c>
      <c r="MP91" t="s">
        <v>1028</v>
      </c>
      <c r="MQ91">
        <v>174</v>
      </c>
      <c r="MR91">
        <v>18</v>
      </c>
    </row>
    <row r="92" spans="1:356">
      <c r="A92" t="s">
        <v>193</v>
      </c>
      <c r="B92" t="s">
        <v>194</v>
      </c>
      <c r="C92">
        <v>132421</v>
      </c>
      <c r="D92">
        <v>185917</v>
      </c>
      <c r="E92">
        <v>215874</v>
      </c>
      <c r="F92">
        <f t="shared" si="4"/>
        <v>29957</v>
      </c>
      <c r="G92" s="26">
        <f t="shared" si="5"/>
        <v>16.113104234685366</v>
      </c>
      <c r="H92">
        <v>102292</v>
      </c>
      <c r="I92">
        <v>113582</v>
      </c>
      <c r="J92">
        <v>183509</v>
      </c>
      <c r="K92">
        <v>32365</v>
      </c>
      <c r="L92">
        <v>9888</v>
      </c>
      <c r="M92">
        <v>10696</v>
      </c>
      <c r="N92">
        <v>10406</v>
      </c>
      <c r="O92">
        <v>10176</v>
      </c>
      <c r="P92">
        <v>9606</v>
      </c>
      <c r="Q92">
        <v>8833</v>
      </c>
      <c r="R92">
        <v>8132</v>
      </c>
      <c r="S92">
        <v>7626</v>
      </c>
      <c r="T92">
        <v>6508</v>
      </c>
      <c r="U92">
        <v>5276</v>
      </c>
      <c r="V92">
        <v>4316</v>
      </c>
      <c r="W92">
        <v>3355</v>
      </c>
      <c r="X92">
        <v>2721</v>
      </c>
      <c r="Y92">
        <v>4678</v>
      </c>
      <c r="Z92">
        <v>75</v>
      </c>
      <c r="AA92">
        <v>9747</v>
      </c>
      <c r="AB92">
        <v>10878</v>
      </c>
      <c r="AC92">
        <v>10366</v>
      </c>
      <c r="AD92">
        <v>10569</v>
      </c>
      <c r="AE92">
        <v>10176</v>
      </c>
      <c r="AF92">
        <v>10145</v>
      </c>
      <c r="AG92">
        <v>9617</v>
      </c>
      <c r="AH92">
        <v>9112</v>
      </c>
      <c r="AI92">
        <v>7727</v>
      </c>
      <c r="AJ92">
        <v>6310</v>
      </c>
      <c r="AK92">
        <v>5465</v>
      </c>
      <c r="AL92">
        <v>4186</v>
      </c>
      <c r="AM92">
        <v>3322</v>
      </c>
      <c r="AN92">
        <v>5884</v>
      </c>
      <c r="AO92">
        <v>78</v>
      </c>
      <c r="AP92">
        <v>206604</v>
      </c>
      <c r="AQ92">
        <v>7690</v>
      </c>
      <c r="AR92">
        <v>291</v>
      </c>
      <c r="AS92">
        <v>978</v>
      </c>
      <c r="AT92">
        <v>311</v>
      </c>
      <c r="AU92">
        <v>66819</v>
      </c>
      <c r="AV92">
        <v>31381</v>
      </c>
      <c r="AW92">
        <v>35438</v>
      </c>
      <c r="AX92">
        <v>42398</v>
      </c>
      <c r="AY92">
        <v>62208</v>
      </c>
      <c r="AZ92">
        <v>19084</v>
      </c>
      <c r="BA92">
        <v>43124</v>
      </c>
      <c r="BB92">
        <v>938</v>
      </c>
      <c r="BC92">
        <v>975</v>
      </c>
      <c r="BD92">
        <v>2837</v>
      </c>
      <c r="BE92">
        <v>2924</v>
      </c>
      <c r="BF92">
        <v>2948</v>
      </c>
      <c r="BG92">
        <v>2915</v>
      </c>
      <c r="BH92">
        <v>3162</v>
      </c>
      <c r="BI92">
        <v>3433</v>
      </c>
      <c r="BJ92">
        <v>3244</v>
      </c>
      <c r="BK92">
        <v>3622</v>
      </c>
      <c r="BL92">
        <v>3087</v>
      </c>
      <c r="BM92">
        <v>3671</v>
      </c>
      <c r="BN92">
        <v>2879</v>
      </c>
      <c r="BO92">
        <v>3455</v>
      </c>
      <c r="BP92">
        <v>2838</v>
      </c>
      <c r="BQ92">
        <v>3316</v>
      </c>
      <c r="BR92">
        <v>2328</v>
      </c>
      <c r="BS92">
        <v>2736</v>
      </c>
      <c r="BT92">
        <v>1874</v>
      </c>
      <c r="BU92">
        <v>2235</v>
      </c>
      <c r="BV92">
        <v>1494</v>
      </c>
      <c r="BW92">
        <v>1773</v>
      </c>
      <c r="BX92">
        <v>1190</v>
      </c>
      <c r="BY92">
        <v>1495</v>
      </c>
      <c r="BZ92">
        <v>969</v>
      </c>
      <c r="CA92">
        <v>1114</v>
      </c>
      <c r="CB92">
        <v>1593</v>
      </c>
      <c r="CC92">
        <v>1774</v>
      </c>
      <c r="CD92">
        <v>28746</v>
      </c>
      <c r="CE92">
        <v>30068</v>
      </c>
      <c r="CF92">
        <v>2450</v>
      </c>
      <c r="CG92">
        <v>5159</v>
      </c>
      <c r="CH92">
        <v>35221</v>
      </c>
      <c r="CI92">
        <v>17445</v>
      </c>
      <c r="CJ92">
        <v>151025</v>
      </c>
      <c r="CK92">
        <v>63837</v>
      </c>
      <c r="CL92">
        <v>4754</v>
      </c>
      <c r="CM92">
        <v>7842</v>
      </c>
      <c r="CN92">
        <v>10030</v>
      </c>
      <c r="CO92">
        <v>11431</v>
      </c>
      <c r="CP92">
        <v>8085</v>
      </c>
      <c r="CQ92">
        <v>10524</v>
      </c>
      <c r="CR92">
        <v>34197</v>
      </c>
      <c r="CS92">
        <v>94587</v>
      </c>
      <c r="CT92">
        <v>15154</v>
      </c>
      <c r="CU92">
        <v>5539</v>
      </c>
      <c r="CV92">
        <v>2087</v>
      </c>
      <c r="CW92">
        <v>8586</v>
      </c>
      <c r="CX92">
        <v>1914</v>
      </c>
      <c r="CY92">
        <v>33329</v>
      </c>
      <c r="CZ92">
        <v>13239</v>
      </c>
      <c r="DA92">
        <v>879</v>
      </c>
      <c r="DB92">
        <v>4754</v>
      </c>
      <c r="DC92">
        <v>416</v>
      </c>
      <c r="DD92">
        <v>2508</v>
      </c>
      <c r="DE92">
        <v>5542</v>
      </c>
      <c r="DF92">
        <v>7036</v>
      </c>
      <c r="DG92">
        <v>17279</v>
      </c>
      <c r="DH92">
        <v>0</v>
      </c>
      <c r="DI92">
        <v>0</v>
      </c>
      <c r="DJ92">
        <v>0</v>
      </c>
      <c r="DK92">
        <v>0</v>
      </c>
      <c r="DL92">
        <v>183509</v>
      </c>
      <c r="DM92">
        <v>56</v>
      </c>
      <c r="DN92">
        <v>31</v>
      </c>
      <c r="DO92">
        <v>18</v>
      </c>
      <c r="DP92">
        <v>20</v>
      </c>
      <c r="DQ92">
        <v>0</v>
      </c>
      <c r="DR92">
        <v>0</v>
      </c>
      <c r="DS92">
        <v>0</v>
      </c>
      <c r="DT92">
        <v>0</v>
      </c>
      <c r="DU92">
        <v>1</v>
      </c>
      <c r="DV92">
        <v>2932</v>
      </c>
      <c r="DW92">
        <v>4227</v>
      </c>
      <c r="DX92">
        <v>6334</v>
      </c>
      <c r="DY92">
        <v>7976</v>
      </c>
      <c r="DZ92">
        <v>2550</v>
      </c>
      <c r="EA92">
        <v>2719</v>
      </c>
      <c r="EB92">
        <v>1179</v>
      </c>
      <c r="EC92">
        <v>1147</v>
      </c>
      <c r="ED92">
        <v>1011</v>
      </c>
      <c r="EE92">
        <v>1266</v>
      </c>
      <c r="EF92">
        <v>1717</v>
      </c>
      <c r="EG92">
        <v>2233</v>
      </c>
      <c r="EH92">
        <v>971</v>
      </c>
      <c r="EI92">
        <v>944</v>
      </c>
      <c r="EJ92">
        <v>4485</v>
      </c>
      <c r="EK92">
        <v>8900</v>
      </c>
      <c r="EL92">
        <v>3260</v>
      </c>
      <c r="EM92">
        <v>1279</v>
      </c>
      <c r="EN92">
        <v>1342</v>
      </c>
      <c r="EO92">
        <v>2347</v>
      </c>
      <c r="EP92">
        <v>1051</v>
      </c>
      <c r="EQ92">
        <v>62058</v>
      </c>
      <c r="ER92">
        <v>60890</v>
      </c>
      <c r="ES92">
        <v>1168</v>
      </c>
      <c r="ET92">
        <v>15103</v>
      </c>
      <c r="EU92">
        <v>52884</v>
      </c>
      <c r="EV92">
        <v>52225</v>
      </c>
      <c r="EW92">
        <v>659</v>
      </c>
      <c r="EX92">
        <v>35596</v>
      </c>
      <c r="EY92" s="26">
        <v>9.3135200000000005</v>
      </c>
      <c r="EZ92" s="26">
        <v>14.926574</v>
      </c>
      <c r="FA92" s="26">
        <v>22.502331000000002</v>
      </c>
      <c r="FB92" s="26">
        <v>52.756410000000002</v>
      </c>
      <c r="FC92" s="26">
        <v>0.501166</v>
      </c>
      <c r="FD92">
        <v>9448</v>
      </c>
      <c r="FE92">
        <v>32546</v>
      </c>
      <c r="FF92">
        <v>3200</v>
      </c>
      <c r="FG92">
        <v>18621</v>
      </c>
      <c r="FH92">
        <v>91</v>
      </c>
      <c r="FI92">
        <v>20526</v>
      </c>
      <c r="FJ92">
        <v>30438</v>
      </c>
      <c r="FK92" s="26" t="s">
        <v>359</v>
      </c>
      <c r="FL92" s="26" t="s">
        <v>359</v>
      </c>
      <c r="FM92" s="26" t="s">
        <v>359</v>
      </c>
      <c r="FN92" s="26" t="s">
        <v>359</v>
      </c>
      <c r="FO92" s="28">
        <v>54353</v>
      </c>
      <c r="FP92" s="28">
        <v>47803</v>
      </c>
      <c r="FQ92">
        <v>11210</v>
      </c>
      <c r="FR92">
        <v>9624</v>
      </c>
      <c r="FS92">
        <v>1220</v>
      </c>
      <c r="FT92">
        <v>565</v>
      </c>
      <c r="FU92">
        <v>30244</v>
      </c>
      <c r="FV92">
        <v>647</v>
      </c>
      <c r="FW92">
        <v>416</v>
      </c>
      <c r="FX92">
        <v>136</v>
      </c>
      <c r="FY92">
        <v>64658</v>
      </c>
      <c r="FZ92">
        <v>48793</v>
      </c>
      <c r="GA92">
        <v>11768</v>
      </c>
      <c r="GB92">
        <v>11812</v>
      </c>
      <c r="GC92">
        <v>1660</v>
      </c>
      <c r="GD92">
        <v>520</v>
      </c>
      <c r="GE92">
        <v>37282</v>
      </c>
      <c r="GF92">
        <v>647</v>
      </c>
      <c r="GG92">
        <v>428</v>
      </c>
      <c r="GH92">
        <v>131</v>
      </c>
      <c r="GI92">
        <v>4859</v>
      </c>
      <c r="GJ92">
        <v>6206</v>
      </c>
      <c r="GK92">
        <v>6046</v>
      </c>
      <c r="GL92">
        <v>5436</v>
      </c>
      <c r="GM92">
        <v>4246</v>
      </c>
      <c r="GN92">
        <v>4002</v>
      </c>
      <c r="GO92">
        <v>4137</v>
      </c>
      <c r="GP92">
        <v>4059</v>
      </c>
      <c r="GQ92">
        <v>3567</v>
      </c>
      <c r="GR92">
        <v>2921</v>
      </c>
      <c r="GS92">
        <v>2325</v>
      </c>
      <c r="GT92">
        <v>1939</v>
      </c>
      <c r="GU92">
        <v>1653</v>
      </c>
      <c r="GV92">
        <v>1159</v>
      </c>
      <c r="GW92">
        <v>788</v>
      </c>
      <c r="GX92">
        <v>502</v>
      </c>
      <c r="GY92">
        <v>282</v>
      </c>
      <c r="GZ92">
        <v>225</v>
      </c>
      <c r="HA92">
        <v>4818</v>
      </c>
      <c r="HB92">
        <v>6264</v>
      </c>
      <c r="HC92">
        <v>5861</v>
      </c>
      <c r="HD92">
        <v>5550</v>
      </c>
      <c r="HE92">
        <v>5011</v>
      </c>
      <c r="HF92">
        <v>5478</v>
      </c>
      <c r="HG92">
        <v>5571</v>
      </c>
      <c r="HH92">
        <v>5460</v>
      </c>
      <c r="HI92">
        <v>4717</v>
      </c>
      <c r="HJ92">
        <v>3834</v>
      </c>
      <c r="HK92">
        <v>3372</v>
      </c>
      <c r="HL92">
        <v>2704</v>
      </c>
      <c r="HM92">
        <v>2146</v>
      </c>
      <c r="HN92">
        <v>1446</v>
      </c>
      <c r="HO92">
        <v>990</v>
      </c>
      <c r="HP92">
        <v>665</v>
      </c>
      <c r="HQ92">
        <v>411</v>
      </c>
      <c r="HR92">
        <v>358</v>
      </c>
      <c r="HS92">
        <v>43477</v>
      </c>
      <c r="HT92">
        <v>221</v>
      </c>
      <c r="HU92">
        <v>2762</v>
      </c>
      <c r="HV92">
        <v>0</v>
      </c>
      <c r="HW92">
        <v>106</v>
      </c>
      <c r="HX92">
        <v>0</v>
      </c>
      <c r="HY92">
        <v>5</v>
      </c>
      <c r="HZ92">
        <v>40</v>
      </c>
      <c r="IA92">
        <v>4730</v>
      </c>
      <c r="IB92">
        <v>7825</v>
      </c>
      <c r="IC92">
        <v>10015</v>
      </c>
      <c r="ID92">
        <v>11414</v>
      </c>
      <c r="IE92">
        <v>8068</v>
      </c>
      <c r="IF92">
        <v>4397</v>
      </c>
      <c r="IG92">
        <v>2571</v>
      </c>
      <c r="IH92">
        <v>1420</v>
      </c>
      <c r="II92">
        <v>2115</v>
      </c>
      <c r="IJ92">
        <v>4760</v>
      </c>
      <c r="IK92">
        <v>8955</v>
      </c>
      <c r="IL92">
        <v>12397</v>
      </c>
      <c r="IM92">
        <v>11331</v>
      </c>
      <c r="IN92">
        <v>7758</v>
      </c>
      <c r="IO92">
        <v>3927</v>
      </c>
      <c r="IP92">
        <v>1649</v>
      </c>
      <c r="IQ92">
        <v>932</v>
      </c>
      <c r="IR92">
        <v>784</v>
      </c>
      <c r="IS92">
        <v>16680</v>
      </c>
      <c r="IT92">
        <v>17938</v>
      </c>
      <c r="IU92">
        <v>11688</v>
      </c>
      <c r="IV92">
        <v>4312</v>
      </c>
      <c r="IW92">
        <v>1878</v>
      </c>
      <c r="IX92">
        <v>35143</v>
      </c>
      <c r="IY92">
        <v>7717</v>
      </c>
      <c r="IZ92">
        <v>320</v>
      </c>
      <c r="JA92">
        <v>73</v>
      </c>
      <c r="JB92">
        <v>555</v>
      </c>
      <c r="JC92">
        <v>1168</v>
      </c>
      <c r="JD92">
        <v>49781</v>
      </c>
      <c r="JE92">
        <v>2711</v>
      </c>
      <c r="JF92">
        <v>63</v>
      </c>
      <c r="JH92" s="28">
        <v>39610.680253092069</v>
      </c>
      <c r="JI92" s="28">
        <v>978.5253775736129</v>
      </c>
      <c r="JJ92">
        <v>4911</v>
      </c>
      <c r="JK92">
        <v>36707</v>
      </c>
      <c r="JL92">
        <v>10873</v>
      </c>
      <c r="JM92">
        <v>64</v>
      </c>
      <c r="JN92">
        <v>33311</v>
      </c>
      <c r="JO92">
        <v>25350</v>
      </c>
      <c r="JP92">
        <v>17436</v>
      </c>
      <c r="JQ92">
        <v>38772</v>
      </c>
      <c r="JR92">
        <v>45721</v>
      </c>
      <c r="JS92">
        <v>16366</v>
      </c>
      <c r="JT92">
        <v>12058</v>
      </c>
      <c r="JU92">
        <v>45725</v>
      </c>
      <c r="JV92">
        <v>17949</v>
      </c>
      <c r="JW92" s="28"/>
      <c r="JX92" s="28"/>
      <c r="JY92" s="28"/>
      <c r="JZ92" s="28"/>
      <c r="KA92" s="28">
        <v>52297.999743400003</v>
      </c>
      <c r="KB92">
        <v>184332</v>
      </c>
      <c r="KC92">
        <v>683</v>
      </c>
      <c r="KD92">
        <v>8066</v>
      </c>
      <c r="KE92">
        <v>0</v>
      </c>
      <c r="KF92">
        <v>386</v>
      </c>
      <c r="KG92">
        <v>0</v>
      </c>
      <c r="KH92">
        <v>18</v>
      </c>
      <c r="KI92">
        <v>144</v>
      </c>
      <c r="KJ92">
        <v>22321</v>
      </c>
      <c r="KK92">
        <v>153851</v>
      </c>
      <c r="KL92">
        <v>38057</v>
      </c>
      <c r="KM92">
        <v>229</v>
      </c>
      <c r="KT92">
        <v>31060</v>
      </c>
      <c r="KU92">
        <v>31209</v>
      </c>
      <c r="KV92">
        <v>22716</v>
      </c>
      <c r="KW92">
        <v>4289</v>
      </c>
      <c r="KX92">
        <v>3035</v>
      </c>
      <c r="KZ92">
        <v>22825</v>
      </c>
      <c r="LA92">
        <v>4244</v>
      </c>
      <c r="LB92">
        <v>3161</v>
      </c>
      <c r="LD92">
        <v>15859</v>
      </c>
      <c r="LE92">
        <v>16010</v>
      </c>
      <c r="LF92">
        <v>4263</v>
      </c>
      <c r="LG92">
        <v>9900</v>
      </c>
      <c r="LH92">
        <v>153740</v>
      </c>
      <c r="LI92">
        <v>106</v>
      </c>
      <c r="LJ92">
        <v>12309</v>
      </c>
      <c r="LK92">
        <v>1978</v>
      </c>
      <c r="LL92">
        <v>11870</v>
      </c>
      <c r="LM92">
        <v>48</v>
      </c>
      <c r="LN92">
        <v>11481</v>
      </c>
      <c r="LO92">
        <v>12226</v>
      </c>
      <c r="LP92">
        <v>152</v>
      </c>
      <c r="LQ92">
        <v>14798</v>
      </c>
      <c r="LR92">
        <v>1839</v>
      </c>
      <c r="LS92">
        <v>13233</v>
      </c>
      <c r="LT92">
        <v>88</v>
      </c>
      <c r="LU92">
        <v>11605</v>
      </c>
      <c r="LV92">
        <v>12600</v>
      </c>
      <c r="LW92" s="44"/>
      <c r="LX92" s="44"/>
      <c r="LY92" s="44"/>
      <c r="LZ92">
        <v>52555</v>
      </c>
      <c r="MA92">
        <v>214458</v>
      </c>
      <c r="MB92">
        <v>209591</v>
      </c>
      <c r="MC92">
        <v>63454</v>
      </c>
      <c r="MD92" s="26">
        <v>9.2123059999999999</v>
      </c>
      <c r="ME92" s="26">
        <v>10.290839</v>
      </c>
      <c r="MF92" s="26">
        <v>38.343306999999996</v>
      </c>
      <c r="MG92" s="26">
        <v>44.746471999999997</v>
      </c>
      <c r="MH92" s="26">
        <v>9.3444959999999995</v>
      </c>
      <c r="MI92" s="26">
        <v>0.79725999999999997</v>
      </c>
      <c r="MJ92" s="26">
        <v>5.7653889999999999</v>
      </c>
      <c r="MK92" s="26">
        <v>5.1584050000000001</v>
      </c>
      <c r="ML92" s="26">
        <v>0.489012</v>
      </c>
      <c r="MM92" s="26">
        <v>51.764817999999998</v>
      </c>
      <c r="MN92" s="26">
        <v>36.616878</v>
      </c>
      <c r="MO92" s="26">
        <v>-0.12271799999999999</v>
      </c>
      <c r="MP92" t="s">
        <v>1027</v>
      </c>
      <c r="MQ92">
        <v>1151</v>
      </c>
      <c r="MR92">
        <v>104</v>
      </c>
    </row>
    <row r="93" spans="1:356">
      <c r="A93" t="s">
        <v>195</v>
      </c>
      <c r="B93" t="s">
        <v>196</v>
      </c>
      <c r="C93">
        <v>26436</v>
      </c>
      <c r="D93">
        <v>33060</v>
      </c>
      <c r="E93">
        <v>41793</v>
      </c>
      <c r="F93">
        <f t="shared" si="4"/>
        <v>8733</v>
      </c>
      <c r="G93" s="26">
        <f t="shared" si="5"/>
        <v>26.415607985480946</v>
      </c>
      <c r="H93">
        <v>20872</v>
      </c>
      <c r="I93">
        <v>20921</v>
      </c>
      <c r="J93">
        <v>15310</v>
      </c>
      <c r="K93">
        <v>26483</v>
      </c>
      <c r="L93">
        <v>1985</v>
      </c>
      <c r="M93">
        <v>2230</v>
      </c>
      <c r="N93">
        <v>2140</v>
      </c>
      <c r="O93">
        <v>2016</v>
      </c>
      <c r="P93">
        <v>1810</v>
      </c>
      <c r="Q93">
        <v>1530</v>
      </c>
      <c r="R93">
        <v>1521</v>
      </c>
      <c r="S93">
        <v>1511</v>
      </c>
      <c r="T93">
        <v>1377</v>
      </c>
      <c r="U93">
        <v>1118</v>
      </c>
      <c r="V93">
        <v>901</v>
      </c>
      <c r="W93">
        <v>752</v>
      </c>
      <c r="X93">
        <v>574</v>
      </c>
      <c r="Y93">
        <v>1403</v>
      </c>
      <c r="Z93">
        <v>4</v>
      </c>
      <c r="AA93">
        <v>1944</v>
      </c>
      <c r="AB93">
        <v>2206</v>
      </c>
      <c r="AC93">
        <v>2055</v>
      </c>
      <c r="AD93">
        <v>1914</v>
      </c>
      <c r="AE93">
        <v>1850</v>
      </c>
      <c r="AF93">
        <v>1670</v>
      </c>
      <c r="AG93">
        <v>1613</v>
      </c>
      <c r="AH93">
        <v>1566</v>
      </c>
      <c r="AI93">
        <v>1485</v>
      </c>
      <c r="AJ93">
        <v>1170</v>
      </c>
      <c r="AK93">
        <v>988</v>
      </c>
      <c r="AL93">
        <v>718</v>
      </c>
      <c r="AM93">
        <v>552</v>
      </c>
      <c r="AN93">
        <v>1186</v>
      </c>
      <c r="AO93">
        <v>4</v>
      </c>
      <c r="AP93">
        <v>40486</v>
      </c>
      <c r="AQ93">
        <v>1234</v>
      </c>
      <c r="AR93">
        <v>17</v>
      </c>
      <c r="AS93">
        <v>30</v>
      </c>
      <c r="AT93">
        <v>26</v>
      </c>
      <c r="AU93">
        <v>990</v>
      </c>
      <c r="AV93">
        <v>536</v>
      </c>
      <c r="AW93">
        <v>454</v>
      </c>
      <c r="AX93">
        <v>468</v>
      </c>
      <c r="AY93">
        <v>497</v>
      </c>
      <c r="AZ93">
        <v>427</v>
      </c>
      <c r="BA93">
        <v>70</v>
      </c>
      <c r="BB93">
        <v>10</v>
      </c>
      <c r="BC93">
        <v>8</v>
      </c>
      <c r="BD93">
        <v>22</v>
      </c>
      <c r="BE93">
        <v>28</v>
      </c>
      <c r="BF93">
        <v>33</v>
      </c>
      <c r="BG93">
        <v>24</v>
      </c>
      <c r="BH93">
        <v>40</v>
      </c>
      <c r="BI93">
        <v>38</v>
      </c>
      <c r="BJ93">
        <v>50</v>
      </c>
      <c r="BK93">
        <v>37</v>
      </c>
      <c r="BL93">
        <v>57</v>
      </c>
      <c r="BM93">
        <v>51</v>
      </c>
      <c r="BN93">
        <v>49</v>
      </c>
      <c r="BO93">
        <v>47</v>
      </c>
      <c r="BP93">
        <v>51</v>
      </c>
      <c r="BQ93">
        <v>40</v>
      </c>
      <c r="BR93">
        <v>47</v>
      </c>
      <c r="BS93">
        <v>47</v>
      </c>
      <c r="BT93">
        <v>43</v>
      </c>
      <c r="BU93">
        <v>34</v>
      </c>
      <c r="BV93">
        <v>24</v>
      </c>
      <c r="BW93">
        <v>29</v>
      </c>
      <c r="BX93">
        <v>36</v>
      </c>
      <c r="BY93">
        <v>18</v>
      </c>
      <c r="BZ93">
        <v>17</v>
      </c>
      <c r="CA93">
        <v>18</v>
      </c>
      <c r="CB93">
        <v>57</v>
      </c>
      <c r="CC93">
        <v>35</v>
      </c>
      <c r="CD93">
        <v>530</v>
      </c>
      <c r="CE93">
        <v>450</v>
      </c>
      <c r="CF93">
        <v>6</v>
      </c>
      <c r="CG93">
        <v>4</v>
      </c>
      <c r="CH93">
        <v>8064</v>
      </c>
      <c r="CI93">
        <v>2418</v>
      </c>
      <c r="CJ93">
        <v>33076</v>
      </c>
      <c r="CK93">
        <v>8715</v>
      </c>
      <c r="CL93">
        <v>760</v>
      </c>
      <c r="CM93">
        <v>1546</v>
      </c>
      <c r="CN93">
        <v>2085</v>
      </c>
      <c r="CO93">
        <v>2525</v>
      </c>
      <c r="CP93">
        <v>1749</v>
      </c>
      <c r="CQ93">
        <v>1817</v>
      </c>
      <c r="CR93">
        <v>8033</v>
      </c>
      <c r="CS93">
        <v>17469</v>
      </c>
      <c r="CT93">
        <v>3187</v>
      </c>
      <c r="CU93">
        <v>1366</v>
      </c>
      <c r="CV93">
        <v>308</v>
      </c>
      <c r="CW93">
        <v>815</v>
      </c>
      <c r="CX93">
        <v>123</v>
      </c>
      <c r="CY93">
        <v>7095</v>
      </c>
      <c r="CZ93">
        <v>2529</v>
      </c>
      <c r="DA93">
        <v>84</v>
      </c>
      <c r="DB93">
        <v>760</v>
      </c>
      <c r="DC93">
        <v>11</v>
      </c>
      <c r="DD93">
        <v>1818</v>
      </c>
      <c r="DE93">
        <v>2397</v>
      </c>
      <c r="DF93">
        <v>2869</v>
      </c>
      <c r="DG93">
        <v>19399</v>
      </c>
      <c r="DH93">
        <v>3443</v>
      </c>
      <c r="DI93">
        <v>0</v>
      </c>
      <c r="DJ93">
        <v>11867</v>
      </c>
      <c r="DK93">
        <v>0</v>
      </c>
      <c r="DL93">
        <v>0</v>
      </c>
      <c r="DM93">
        <v>111</v>
      </c>
      <c r="DN93">
        <v>16</v>
      </c>
      <c r="DO93">
        <v>7</v>
      </c>
      <c r="DP93">
        <v>14</v>
      </c>
      <c r="DQ93">
        <v>1</v>
      </c>
      <c r="DR93">
        <v>0</v>
      </c>
      <c r="DS93">
        <v>1</v>
      </c>
      <c r="DT93">
        <v>0</v>
      </c>
      <c r="DU93">
        <v>0</v>
      </c>
      <c r="DV93">
        <v>1217</v>
      </c>
      <c r="DW93">
        <v>1268</v>
      </c>
      <c r="DX93">
        <v>1556</v>
      </c>
      <c r="DY93">
        <v>1651</v>
      </c>
      <c r="DZ93">
        <v>666</v>
      </c>
      <c r="EA93">
        <v>522</v>
      </c>
      <c r="EB93">
        <v>416</v>
      </c>
      <c r="EC93">
        <v>287</v>
      </c>
      <c r="ED93">
        <v>316</v>
      </c>
      <c r="EE93">
        <v>308</v>
      </c>
      <c r="EF93">
        <v>511</v>
      </c>
      <c r="EG93">
        <v>550</v>
      </c>
      <c r="EH93">
        <v>328</v>
      </c>
      <c r="EI93">
        <v>283</v>
      </c>
      <c r="EJ93">
        <v>1613</v>
      </c>
      <c r="EK93">
        <v>2105</v>
      </c>
      <c r="EL93">
        <v>775</v>
      </c>
      <c r="EM93">
        <v>466</v>
      </c>
      <c r="EN93">
        <v>390</v>
      </c>
      <c r="EO93">
        <v>680</v>
      </c>
      <c r="EP93">
        <v>398</v>
      </c>
      <c r="EQ93">
        <v>12573</v>
      </c>
      <c r="ER93">
        <v>12235</v>
      </c>
      <c r="ES93">
        <v>338</v>
      </c>
      <c r="ET93">
        <v>3152</v>
      </c>
      <c r="EU93">
        <v>6906</v>
      </c>
      <c r="EV93">
        <v>6845</v>
      </c>
      <c r="EW93">
        <v>61</v>
      </c>
      <c r="EX93">
        <v>9023</v>
      </c>
      <c r="EY93" s="26">
        <v>13.382967000000001</v>
      </c>
      <c r="EZ93" s="26">
        <v>35.597118999999999</v>
      </c>
      <c r="FA93" s="26">
        <v>16.022033</v>
      </c>
      <c r="FB93" s="26">
        <v>34.277585999999999</v>
      </c>
      <c r="FC93" s="26">
        <v>0.72029500000000002</v>
      </c>
      <c r="FD93">
        <v>1741</v>
      </c>
      <c r="FE93">
        <v>7651</v>
      </c>
      <c r="FF93">
        <v>820</v>
      </c>
      <c r="FG93">
        <v>4370</v>
      </c>
      <c r="FH93">
        <v>9</v>
      </c>
      <c r="FI93">
        <v>2773</v>
      </c>
      <c r="FJ93">
        <v>2107</v>
      </c>
      <c r="FK93" s="26" t="s">
        <v>359</v>
      </c>
      <c r="FL93" s="26" t="s">
        <v>359</v>
      </c>
      <c r="FM93" s="26" t="s">
        <v>359</v>
      </c>
      <c r="FN93" s="26" t="s">
        <v>359</v>
      </c>
      <c r="FO93" s="28">
        <v>13159</v>
      </c>
      <c r="FP93" s="28">
        <v>7707</v>
      </c>
      <c r="FQ93">
        <v>2324</v>
      </c>
      <c r="FR93">
        <v>441</v>
      </c>
      <c r="FS93">
        <v>109</v>
      </c>
      <c r="FT93">
        <v>355</v>
      </c>
      <c r="FU93">
        <v>9572</v>
      </c>
      <c r="FV93">
        <v>115</v>
      </c>
      <c r="FW93">
        <v>155</v>
      </c>
      <c r="FX93">
        <v>6</v>
      </c>
      <c r="FY93">
        <v>13950</v>
      </c>
      <c r="FZ93">
        <v>6963</v>
      </c>
      <c r="GA93">
        <v>2245</v>
      </c>
      <c r="GB93">
        <v>541</v>
      </c>
      <c r="GC93">
        <v>121</v>
      </c>
      <c r="GD93">
        <v>369</v>
      </c>
      <c r="GE93">
        <v>10302</v>
      </c>
      <c r="GF93">
        <v>118</v>
      </c>
      <c r="GG93">
        <v>153</v>
      </c>
      <c r="GH93">
        <v>8</v>
      </c>
      <c r="GI93">
        <v>1229</v>
      </c>
      <c r="GJ93">
        <v>1596</v>
      </c>
      <c r="GK93">
        <v>1485</v>
      </c>
      <c r="GL93">
        <v>1347</v>
      </c>
      <c r="GM93">
        <v>1042</v>
      </c>
      <c r="GN93">
        <v>874</v>
      </c>
      <c r="GO93">
        <v>908</v>
      </c>
      <c r="GP93">
        <v>940</v>
      </c>
      <c r="GQ93">
        <v>881</v>
      </c>
      <c r="GR93">
        <v>685</v>
      </c>
      <c r="GS93">
        <v>503</v>
      </c>
      <c r="GT93">
        <v>428</v>
      </c>
      <c r="GU93">
        <v>349</v>
      </c>
      <c r="GV93">
        <v>306</v>
      </c>
      <c r="GW93">
        <v>223</v>
      </c>
      <c r="GX93">
        <v>171</v>
      </c>
      <c r="GY93">
        <v>98</v>
      </c>
      <c r="GZ93">
        <v>94</v>
      </c>
      <c r="HA93">
        <v>1199</v>
      </c>
      <c r="HB93">
        <v>1474</v>
      </c>
      <c r="HC93">
        <v>1431</v>
      </c>
      <c r="HD93">
        <v>1285</v>
      </c>
      <c r="HE93">
        <v>1201</v>
      </c>
      <c r="HF93">
        <v>1123</v>
      </c>
      <c r="HG93">
        <v>1111</v>
      </c>
      <c r="HH93">
        <v>1061</v>
      </c>
      <c r="HI93">
        <v>1044</v>
      </c>
      <c r="HJ93">
        <v>774</v>
      </c>
      <c r="HK93">
        <v>652</v>
      </c>
      <c r="HL93">
        <v>467</v>
      </c>
      <c r="HM93">
        <v>330</v>
      </c>
      <c r="HN93">
        <v>269</v>
      </c>
      <c r="HO93">
        <v>217</v>
      </c>
      <c r="HP93">
        <v>145</v>
      </c>
      <c r="HQ93">
        <v>93</v>
      </c>
      <c r="HR93">
        <v>74</v>
      </c>
      <c r="HS93">
        <v>8037</v>
      </c>
      <c r="HT93">
        <v>18</v>
      </c>
      <c r="HU93">
        <v>49</v>
      </c>
      <c r="HV93">
        <v>0</v>
      </c>
      <c r="HW93">
        <v>23</v>
      </c>
      <c r="HX93">
        <v>0</v>
      </c>
      <c r="HY93">
        <v>4</v>
      </c>
      <c r="HZ93">
        <v>2</v>
      </c>
      <c r="IA93">
        <v>755</v>
      </c>
      <c r="IB93">
        <v>1541</v>
      </c>
      <c r="IC93">
        <v>2083</v>
      </c>
      <c r="ID93">
        <v>2519</v>
      </c>
      <c r="IE93">
        <v>1746</v>
      </c>
      <c r="IF93">
        <v>870</v>
      </c>
      <c r="IG93">
        <v>468</v>
      </c>
      <c r="IH93">
        <v>226</v>
      </c>
      <c r="II93">
        <v>247</v>
      </c>
      <c r="IJ93">
        <v>1573</v>
      </c>
      <c r="IK93">
        <v>2377</v>
      </c>
      <c r="IL93">
        <v>2947</v>
      </c>
      <c r="IM93">
        <v>2143</v>
      </c>
      <c r="IN93">
        <v>909</v>
      </c>
      <c r="IO93">
        <v>303</v>
      </c>
      <c r="IP93">
        <v>106</v>
      </c>
      <c r="IQ93">
        <v>58</v>
      </c>
      <c r="IR93">
        <v>38</v>
      </c>
      <c r="IS93">
        <v>4744</v>
      </c>
      <c r="IT93">
        <v>3920</v>
      </c>
      <c r="IU93">
        <v>1406</v>
      </c>
      <c r="IV93">
        <v>307</v>
      </c>
      <c r="IW93">
        <v>77</v>
      </c>
      <c r="IX93">
        <v>3908</v>
      </c>
      <c r="IY93">
        <v>2718</v>
      </c>
      <c r="IZ93">
        <v>21</v>
      </c>
      <c r="JA93">
        <v>112</v>
      </c>
      <c r="JB93">
        <v>347</v>
      </c>
      <c r="JC93">
        <v>541</v>
      </c>
      <c r="JD93">
        <v>10224</v>
      </c>
      <c r="JE93">
        <v>230</v>
      </c>
      <c r="JF93">
        <v>1</v>
      </c>
      <c r="JH93" s="28">
        <v>7231.9868942223784</v>
      </c>
      <c r="JI93" s="28">
        <v>436.81266071793829</v>
      </c>
      <c r="JJ93">
        <v>496</v>
      </c>
      <c r="JK93">
        <v>8291</v>
      </c>
      <c r="JL93">
        <v>1667</v>
      </c>
      <c r="JM93">
        <v>1</v>
      </c>
      <c r="JN93">
        <v>7699</v>
      </c>
      <c r="JO93">
        <v>5479</v>
      </c>
      <c r="JP93">
        <v>1862</v>
      </c>
      <c r="JQ93">
        <v>6441</v>
      </c>
      <c r="JR93">
        <v>9121</v>
      </c>
      <c r="JS93">
        <v>1535</v>
      </c>
      <c r="JT93">
        <v>887</v>
      </c>
      <c r="JU93">
        <v>8068</v>
      </c>
      <c r="JV93">
        <v>2418</v>
      </c>
      <c r="JW93" s="28"/>
      <c r="JX93" s="28"/>
      <c r="JY93" s="28"/>
      <c r="JZ93" s="28"/>
      <c r="KA93" s="28">
        <v>10371.99995055</v>
      </c>
      <c r="KB93">
        <v>32761</v>
      </c>
      <c r="KC93">
        <v>68</v>
      </c>
      <c r="KD93">
        <v>142</v>
      </c>
      <c r="KE93">
        <v>0</v>
      </c>
      <c r="KF93">
        <v>81</v>
      </c>
      <c r="KG93">
        <v>0</v>
      </c>
      <c r="KH93">
        <v>17</v>
      </c>
      <c r="KI93">
        <v>5</v>
      </c>
      <c r="KJ93">
        <v>1970</v>
      </c>
      <c r="KK93">
        <v>33260</v>
      </c>
      <c r="KL93">
        <v>6462</v>
      </c>
      <c r="KM93">
        <v>1</v>
      </c>
      <c r="KT93">
        <v>5524</v>
      </c>
      <c r="KU93">
        <v>5389</v>
      </c>
      <c r="KV93">
        <v>4482</v>
      </c>
      <c r="KW93">
        <v>610</v>
      </c>
      <c r="KX93">
        <v>284</v>
      </c>
      <c r="KZ93">
        <v>4447</v>
      </c>
      <c r="LA93">
        <v>529</v>
      </c>
      <c r="LB93">
        <v>268</v>
      </c>
      <c r="LD93">
        <v>3311</v>
      </c>
      <c r="LE93">
        <v>3298</v>
      </c>
      <c r="LF93">
        <v>1277</v>
      </c>
      <c r="LG93">
        <v>1871</v>
      </c>
      <c r="LH93">
        <v>29225</v>
      </c>
      <c r="LI93">
        <v>26</v>
      </c>
      <c r="LJ93">
        <v>2985</v>
      </c>
      <c r="LK93">
        <v>562</v>
      </c>
      <c r="LL93">
        <v>3250</v>
      </c>
      <c r="LM93">
        <v>5</v>
      </c>
      <c r="LN93">
        <v>1688</v>
      </c>
      <c r="LO93">
        <v>942</v>
      </c>
      <c r="LP93">
        <v>36</v>
      </c>
      <c r="LQ93">
        <v>3256</v>
      </c>
      <c r="LR93">
        <v>474</v>
      </c>
      <c r="LS93">
        <v>3296</v>
      </c>
      <c r="LT93">
        <v>13</v>
      </c>
      <c r="LU93">
        <v>1333</v>
      </c>
      <c r="LV93">
        <v>741</v>
      </c>
      <c r="LW93" s="44"/>
      <c r="LX93" s="44"/>
      <c r="LY93" s="44"/>
      <c r="LZ93">
        <v>10455</v>
      </c>
      <c r="MA93">
        <v>41693</v>
      </c>
      <c r="MB93">
        <v>39204</v>
      </c>
      <c r="MC93">
        <v>618</v>
      </c>
      <c r="MD93" s="26">
        <v>10.771599999999999</v>
      </c>
      <c r="ME93" s="26">
        <v>11.312975</v>
      </c>
      <c r="MF93" s="26">
        <v>53.426860999999995</v>
      </c>
      <c r="MG93" s="26">
        <v>35.101571999999997</v>
      </c>
      <c r="MH93" s="26">
        <v>4.7441420000000001</v>
      </c>
      <c r="MI93" s="26">
        <v>2.563367</v>
      </c>
      <c r="MJ93" s="26">
        <v>10.779530999999999</v>
      </c>
      <c r="MK93" s="26">
        <v>2.1999040000000001</v>
      </c>
      <c r="ML93" s="26">
        <v>0.793879</v>
      </c>
      <c r="MM93" s="26">
        <v>47.594451999999997</v>
      </c>
      <c r="MN93" s="26">
        <v>26.360592999999998</v>
      </c>
      <c r="MO93" s="26">
        <v>2.2269999999999998E-3</v>
      </c>
      <c r="MP93" t="s">
        <v>1027</v>
      </c>
      <c r="MQ93">
        <v>1015</v>
      </c>
      <c r="MR93">
        <v>95</v>
      </c>
    </row>
    <row r="94" spans="1:356">
      <c r="A94" t="s">
        <v>259</v>
      </c>
      <c r="B94" t="s">
        <v>260</v>
      </c>
      <c r="C94">
        <v>20688</v>
      </c>
      <c r="D94">
        <v>29016</v>
      </c>
      <c r="E94">
        <v>37948</v>
      </c>
      <c r="F94">
        <f t="shared" si="4"/>
        <v>8932</v>
      </c>
      <c r="G94" s="26">
        <f t="shared" si="5"/>
        <v>30.783016266887245</v>
      </c>
      <c r="H94">
        <v>18517</v>
      </c>
      <c r="I94">
        <v>19431</v>
      </c>
      <c r="J94">
        <v>11799</v>
      </c>
      <c r="K94">
        <v>26149</v>
      </c>
      <c r="L94">
        <v>2809</v>
      </c>
      <c r="M94">
        <v>2920</v>
      </c>
      <c r="N94">
        <v>2688</v>
      </c>
      <c r="O94">
        <v>2015</v>
      </c>
      <c r="P94">
        <v>1379</v>
      </c>
      <c r="Q94">
        <v>1223</v>
      </c>
      <c r="R94">
        <v>1158</v>
      </c>
      <c r="S94">
        <v>958</v>
      </c>
      <c r="T94">
        <v>787</v>
      </c>
      <c r="U94">
        <v>706</v>
      </c>
      <c r="V94">
        <v>549</v>
      </c>
      <c r="W94">
        <v>442</v>
      </c>
      <c r="X94">
        <v>293</v>
      </c>
      <c r="Y94">
        <v>589</v>
      </c>
      <c r="Z94">
        <v>1</v>
      </c>
      <c r="AA94">
        <v>2929</v>
      </c>
      <c r="AB94">
        <v>2998</v>
      </c>
      <c r="AC94">
        <v>2674</v>
      </c>
      <c r="AD94">
        <v>2013</v>
      </c>
      <c r="AE94">
        <v>1643</v>
      </c>
      <c r="AF94">
        <v>1355</v>
      </c>
      <c r="AG94">
        <v>1262</v>
      </c>
      <c r="AH94">
        <v>1069</v>
      </c>
      <c r="AI94">
        <v>819</v>
      </c>
      <c r="AJ94">
        <v>737</v>
      </c>
      <c r="AK94">
        <v>565</v>
      </c>
      <c r="AL94">
        <v>459</v>
      </c>
      <c r="AM94">
        <v>288</v>
      </c>
      <c r="AN94">
        <v>617</v>
      </c>
      <c r="AO94">
        <v>3</v>
      </c>
      <c r="AP94">
        <v>37923</v>
      </c>
      <c r="AQ94">
        <v>9</v>
      </c>
      <c r="AR94">
        <v>2</v>
      </c>
      <c r="AS94">
        <v>0</v>
      </c>
      <c r="AT94">
        <v>14</v>
      </c>
      <c r="AU94">
        <v>34101</v>
      </c>
      <c r="AV94">
        <v>16643</v>
      </c>
      <c r="AW94">
        <v>17458</v>
      </c>
      <c r="AX94">
        <v>15810</v>
      </c>
      <c r="AY94">
        <v>25926</v>
      </c>
      <c r="AZ94">
        <v>20225</v>
      </c>
      <c r="BA94">
        <v>5701</v>
      </c>
      <c r="BB94">
        <v>1172</v>
      </c>
      <c r="BC94">
        <v>1197</v>
      </c>
      <c r="BD94">
        <v>2859</v>
      </c>
      <c r="BE94">
        <v>2948</v>
      </c>
      <c r="BF94">
        <v>2628</v>
      </c>
      <c r="BG94">
        <v>2625</v>
      </c>
      <c r="BH94">
        <v>1990</v>
      </c>
      <c r="BI94">
        <v>1975</v>
      </c>
      <c r="BJ94">
        <v>1367</v>
      </c>
      <c r="BK94">
        <v>1624</v>
      </c>
      <c r="BL94">
        <v>1207</v>
      </c>
      <c r="BM94">
        <v>1341</v>
      </c>
      <c r="BN94">
        <v>1141</v>
      </c>
      <c r="BO94">
        <v>1249</v>
      </c>
      <c r="BP94">
        <v>947</v>
      </c>
      <c r="BQ94">
        <v>1059</v>
      </c>
      <c r="BR94">
        <v>780</v>
      </c>
      <c r="BS94">
        <v>810</v>
      </c>
      <c r="BT94">
        <v>698</v>
      </c>
      <c r="BU94">
        <v>729</v>
      </c>
      <c r="BV94">
        <v>541</v>
      </c>
      <c r="BW94">
        <v>557</v>
      </c>
      <c r="BX94">
        <v>439</v>
      </c>
      <c r="BY94">
        <v>452</v>
      </c>
      <c r="BZ94">
        <v>291</v>
      </c>
      <c r="CA94">
        <v>283</v>
      </c>
      <c r="CB94">
        <v>583</v>
      </c>
      <c r="CC94">
        <v>609</v>
      </c>
      <c r="CD94">
        <v>6217</v>
      </c>
      <c r="CE94">
        <v>3429</v>
      </c>
      <c r="CF94">
        <v>8964</v>
      </c>
      <c r="CG94">
        <v>12678</v>
      </c>
      <c r="CH94">
        <v>6158</v>
      </c>
      <c r="CI94">
        <v>802</v>
      </c>
      <c r="CJ94">
        <v>34972</v>
      </c>
      <c r="CK94">
        <v>2976</v>
      </c>
      <c r="CL94">
        <v>250</v>
      </c>
      <c r="CM94">
        <v>671</v>
      </c>
      <c r="CN94">
        <v>832</v>
      </c>
      <c r="CO94">
        <v>1036</v>
      </c>
      <c r="CP94">
        <v>971</v>
      </c>
      <c r="CQ94">
        <v>3200</v>
      </c>
      <c r="CR94">
        <v>5917</v>
      </c>
      <c r="CS94">
        <v>22437</v>
      </c>
      <c r="CT94">
        <v>1337</v>
      </c>
      <c r="CU94">
        <v>616</v>
      </c>
      <c r="CV94">
        <v>215</v>
      </c>
      <c r="CW94">
        <v>462</v>
      </c>
      <c r="CX94">
        <v>3</v>
      </c>
      <c r="CY94">
        <v>5462</v>
      </c>
      <c r="CZ94">
        <v>1244</v>
      </c>
      <c r="DA94">
        <v>3</v>
      </c>
      <c r="DB94">
        <v>250</v>
      </c>
      <c r="DC94">
        <v>0</v>
      </c>
      <c r="DD94">
        <v>246</v>
      </c>
      <c r="DE94">
        <v>1077</v>
      </c>
      <c r="DF94">
        <v>3734</v>
      </c>
      <c r="DG94">
        <v>21092</v>
      </c>
      <c r="DH94">
        <v>3322</v>
      </c>
      <c r="DI94">
        <v>8477</v>
      </c>
      <c r="DJ94">
        <v>0</v>
      </c>
      <c r="DK94">
        <v>0</v>
      </c>
      <c r="DL94">
        <v>0</v>
      </c>
      <c r="DM94">
        <v>4</v>
      </c>
      <c r="DN94">
        <v>6</v>
      </c>
      <c r="DO94">
        <v>10</v>
      </c>
      <c r="DP94">
        <v>21</v>
      </c>
      <c r="DQ94">
        <v>1</v>
      </c>
      <c r="DR94">
        <v>1</v>
      </c>
      <c r="DS94">
        <v>0</v>
      </c>
      <c r="DT94">
        <v>0</v>
      </c>
      <c r="DU94">
        <v>0</v>
      </c>
      <c r="DV94">
        <v>425</v>
      </c>
      <c r="DW94">
        <v>489</v>
      </c>
      <c r="DX94">
        <v>534</v>
      </c>
      <c r="DY94">
        <v>611</v>
      </c>
      <c r="DZ94">
        <v>395</v>
      </c>
      <c r="EA94">
        <v>510</v>
      </c>
      <c r="EB94">
        <v>225</v>
      </c>
      <c r="EC94">
        <v>265</v>
      </c>
      <c r="ED94">
        <v>211</v>
      </c>
      <c r="EE94">
        <v>259</v>
      </c>
      <c r="EF94">
        <v>279</v>
      </c>
      <c r="EG94">
        <v>331</v>
      </c>
      <c r="EH94">
        <v>97</v>
      </c>
      <c r="EI94">
        <v>76</v>
      </c>
      <c r="EJ94">
        <v>730</v>
      </c>
      <c r="EK94">
        <v>998</v>
      </c>
      <c r="EL94">
        <v>754</v>
      </c>
      <c r="EM94">
        <v>374</v>
      </c>
      <c r="EN94">
        <v>333</v>
      </c>
      <c r="EO94">
        <v>476</v>
      </c>
      <c r="EP94">
        <v>149</v>
      </c>
      <c r="EQ94">
        <v>7601</v>
      </c>
      <c r="ER94">
        <v>6798</v>
      </c>
      <c r="ES94">
        <v>803</v>
      </c>
      <c r="ET94">
        <v>4070</v>
      </c>
      <c r="EU94">
        <v>1182</v>
      </c>
      <c r="EV94">
        <v>1042</v>
      </c>
      <c r="EW94">
        <v>140</v>
      </c>
      <c r="EX94">
        <v>11114</v>
      </c>
      <c r="EY94" s="26">
        <v>90.338226000000006</v>
      </c>
      <c r="EZ94" s="26">
        <v>3.4971290000000002</v>
      </c>
      <c r="FA94" s="26">
        <v>2.603701</v>
      </c>
      <c r="FB94" s="26">
        <v>3.4333119999999999</v>
      </c>
      <c r="FC94" s="26">
        <v>0.127632</v>
      </c>
      <c r="FD94">
        <v>1468</v>
      </c>
      <c r="FE94">
        <v>3868</v>
      </c>
      <c r="FF94">
        <v>385</v>
      </c>
      <c r="FG94">
        <v>1831</v>
      </c>
      <c r="FH94">
        <v>1</v>
      </c>
      <c r="FI94">
        <v>1177</v>
      </c>
      <c r="FJ94">
        <v>44</v>
      </c>
      <c r="FK94" s="26" t="s">
        <v>359</v>
      </c>
      <c r="FL94" s="26" t="s">
        <v>359</v>
      </c>
      <c r="FM94" s="26" t="s">
        <v>359</v>
      </c>
      <c r="FN94" s="26" t="s">
        <v>359</v>
      </c>
      <c r="FO94" s="28">
        <v>15346</v>
      </c>
      <c r="FP94" s="28">
        <v>3160</v>
      </c>
      <c r="FQ94">
        <v>904</v>
      </c>
      <c r="FR94">
        <v>6</v>
      </c>
      <c r="FS94">
        <v>1</v>
      </c>
      <c r="FT94">
        <v>4</v>
      </c>
      <c r="FU94">
        <v>12801</v>
      </c>
      <c r="FV94">
        <v>213</v>
      </c>
      <c r="FW94">
        <v>215</v>
      </c>
      <c r="FX94">
        <v>11</v>
      </c>
      <c r="FY94">
        <v>16223</v>
      </c>
      <c r="FZ94">
        <v>3197</v>
      </c>
      <c r="GA94">
        <v>917</v>
      </c>
      <c r="GB94">
        <v>7</v>
      </c>
      <c r="GC94">
        <v>3</v>
      </c>
      <c r="GD94">
        <v>6</v>
      </c>
      <c r="GE94">
        <v>13454</v>
      </c>
      <c r="GF94">
        <v>222</v>
      </c>
      <c r="GG94">
        <v>277</v>
      </c>
      <c r="GH94">
        <v>11</v>
      </c>
      <c r="GI94">
        <v>1904</v>
      </c>
      <c r="GJ94">
        <v>2497</v>
      </c>
      <c r="GK94">
        <v>2323</v>
      </c>
      <c r="GL94">
        <v>1701</v>
      </c>
      <c r="GM94">
        <v>1082</v>
      </c>
      <c r="GN94">
        <v>1033</v>
      </c>
      <c r="GO94">
        <v>1006</v>
      </c>
      <c r="GP94">
        <v>849</v>
      </c>
      <c r="GQ94">
        <v>702</v>
      </c>
      <c r="GR94">
        <v>626</v>
      </c>
      <c r="GS94">
        <v>481</v>
      </c>
      <c r="GT94">
        <v>394</v>
      </c>
      <c r="GU94">
        <v>245</v>
      </c>
      <c r="GV94">
        <v>178</v>
      </c>
      <c r="GW94">
        <v>110</v>
      </c>
      <c r="GX94">
        <v>73</v>
      </c>
      <c r="GY94">
        <v>51</v>
      </c>
      <c r="GZ94">
        <v>91</v>
      </c>
      <c r="HA94">
        <v>2012</v>
      </c>
      <c r="HB94">
        <v>2592</v>
      </c>
      <c r="HC94">
        <v>2293</v>
      </c>
      <c r="HD94">
        <v>1634</v>
      </c>
      <c r="HE94">
        <v>1312</v>
      </c>
      <c r="HF94">
        <v>1182</v>
      </c>
      <c r="HG94">
        <v>1129</v>
      </c>
      <c r="HH94">
        <v>965</v>
      </c>
      <c r="HI94">
        <v>750</v>
      </c>
      <c r="HJ94">
        <v>666</v>
      </c>
      <c r="HK94">
        <v>502</v>
      </c>
      <c r="HL94">
        <v>397</v>
      </c>
      <c r="HM94">
        <v>250</v>
      </c>
      <c r="HN94">
        <v>184</v>
      </c>
      <c r="HO94">
        <v>129</v>
      </c>
      <c r="HP94">
        <v>65</v>
      </c>
      <c r="HQ94">
        <v>86</v>
      </c>
      <c r="HR94">
        <v>73</v>
      </c>
      <c r="HS94">
        <v>6903</v>
      </c>
      <c r="HT94">
        <v>0</v>
      </c>
      <c r="HU94">
        <v>0</v>
      </c>
      <c r="HV94">
        <v>0</v>
      </c>
      <c r="HW94">
        <v>0</v>
      </c>
      <c r="HX94">
        <v>0</v>
      </c>
      <c r="HY94">
        <v>0</v>
      </c>
      <c r="HZ94">
        <v>7</v>
      </c>
      <c r="IA94">
        <v>250</v>
      </c>
      <c r="IB94">
        <v>671</v>
      </c>
      <c r="IC94">
        <v>832</v>
      </c>
      <c r="ID94">
        <v>1036</v>
      </c>
      <c r="IE94">
        <v>971</v>
      </c>
      <c r="IF94">
        <v>957</v>
      </c>
      <c r="IG94">
        <v>788</v>
      </c>
      <c r="IH94">
        <v>564</v>
      </c>
      <c r="II94">
        <v>891</v>
      </c>
      <c r="IJ94">
        <v>296</v>
      </c>
      <c r="IK94">
        <v>2271</v>
      </c>
      <c r="IL94">
        <v>2872</v>
      </c>
      <c r="IM94">
        <v>953</v>
      </c>
      <c r="IN94">
        <v>376</v>
      </c>
      <c r="IO94">
        <v>116</v>
      </c>
      <c r="IP94">
        <v>44</v>
      </c>
      <c r="IQ94">
        <v>14</v>
      </c>
      <c r="IR94">
        <v>16</v>
      </c>
      <c r="IS94">
        <v>2571</v>
      </c>
      <c r="IT94">
        <v>3033</v>
      </c>
      <c r="IU94">
        <v>913</v>
      </c>
      <c r="IV94">
        <v>319</v>
      </c>
      <c r="IW94">
        <v>122</v>
      </c>
      <c r="IX94">
        <v>342</v>
      </c>
      <c r="IY94">
        <v>3519</v>
      </c>
      <c r="IZ94">
        <v>13</v>
      </c>
      <c r="JA94">
        <v>25</v>
      </c>
      <c r="JB94">
        <v>0</v>
      </c>
      <c r="JC94">
        <v>283</v>
      </c>
      <c r="JD94">
        <v>3767</v>
      </c>
      <c r="JE94">
        <v>3191</v>
      </c>
      <c r="JF94">
        <v>2</v>
      </c>
      <c r="JH94" s="28">
        <v>4684.1438168215909</v>
      </c>
      <c r="JI94" s="28">
        <v>350.40456755243196</v>
      </c>
      <c r="JJ94">
        <v>2269</v>
      </c>
      <c r="JK94">
        <v>4584</v>
      </c>
      <c r="JL94">
        <v>102</v>
      </c>
      <c r="JM94">
        <v>5</v>
      </c>
      <c r="JN94">
        <v>327</v>
      </c>
      <c r="JO94">
        <v>25</v>
      </c>
      <c r="JP94">
        <v>95</v>
      </c>
      <c r="JQ94">
        <v>1907</v>
      </c>
      <c r="JR94">
        <v>2409</v>
      </c>
      <c r="JS94">
        <v>34</v>
      </c>
      <c r="JT94">
        <v>40</v>
      </c>
      <c r="JU94">
        <v>2624</v>
      </c>
      <c r="JV94">
        <v>44</v>
      </c>
      <c r="JW94" s="28"/>
      <c r="JX94" s="28"/>
      <c r="JY94" s="28"/>
      <c r="JZ94" s="28"/>
      <c r="KA94" s="28">
        <v>6735.9999864000001</v>
      </c>
      <c r="KB94">
        <v>37667</v>
      </c>
      <c r="KC94">
        <v>0</v>
      </c>
      <c r="KD94">
        <v>0</v>
      </c>
      <c r="KE94">
        <v>0</v>
      </c>
      <c r="KF94">
        <v>0</v>
      </c>
      <c r="KG94">
        <v>0</v>
      </c>
      <c r="KH94">
        <v>0</v>
      </c>
      <c r="KI94">
        <v>30</v>
      </c>
      <c r="KJ94">
        <v>11462</v>
      </c>
      <c r="KK94">
        <v>25883</v>
      </c>
      <c r="KL94">
        <v>582</v>
      </c>
      <c r="KM94">
        <v>21</v>
      </c>
      <c r="KT94">
        <v>6214</v>
      </c>
      <c r="KU94">
        <v>5708</v>
      </c>
      <c r="KV94">
        <v>5643</v>
      </c>
      <c r="KW94">
        <v>431</v>
      </c>
      <c r="KX94">
        <v>31</v>
      </c>
      <c r="KZ94">
        <v>5300</v>
      </c>
      <c r="LA94">
        <v>274</v>
      </c>
      <c r="LB94">
        <v>18</v>
      </c>
      <c r="LD94">
        <v>3222</v>
      </c>
      <c r="LE94">
        <v>3157</v>
      </c>
      <c r="LF94">
        <v>1975</v>
      </c>
      <c r="LG94">
        <v>4466</v>
      </c>
      <c r="LH94">
        <v>20926</v>
      </c>
      <c r="LI94">
        <v>21</v>
      </c>
      <c r="LJ94">
        <v>2535</v>
      </c>
      <c r="LK94">
        <v>612</v>
      </c>
      <c r="LL94">
        <v>2153</v>
      </c>
      <c r="LM94">
        <v>2</v>
      </c>
      <c r="LN94">
        <v>1283</v>
      </c>
      <c r="LO94">
        <v>28</v>
      </c>
      <c r="LP94">
        <v>26</v>
      </c>
      <c r="LQ94">
        <v>2611</v>
      </c>
      <c r="LR94">
        <v>423</v>
      </c>
      <c r="LS94">
        <v>1542</v>
      </c>
      <c r="LT94">
        <v>0</v>
      </c>
      <c r="LU94">
        <v>423</v>
      </c>
      <c r="LV94">
        <v>13</v>
      </c>
      <c r="LW94" s="44"/>
      <c r="LX94" s="44"/>
      <c r="LY94" s="44"/>
      <c r="LZ94">
        <v>6960</v>
      </c>
      <c r="MA94">
        <v>37948</v>
      </c>
      <c r="MB94">
        <v>34829</v>
      </c>
      <c r="MC94">
        <v>31471</v>
      </c>
      <c r="MD94" s="26">
        <v>30.779890999999999</v>
      </c>
      <c r="ME94" s="26">
        <v>13.535473999999999</v>
      </c>
      <c r="MF94" s="26">
        <v>69.755327999999992</v>
      </c>
      <c r="MG94" s="26">
        <v>16.751870999999998</v>
      </c>
      <c r="MH94" s="26">
        <v>32.600574999999999</v>
      </c>
      <c r="MI94" s="26">
        <v>11.264367999999999</v>
      </c>
      <c r="MJ94" s="26">
        <v>26.594828</v>
      </c>
      <c r="MK94" s="26">
        <v>45.847701000000001</v>
      </c>
      <c r="ML94" s="26">
        <v>3.218391</v>
      </c>
      <c r="MM94" s="26">
        <v>99.640805</v>
      </c>
      <c r="MN94" s="26">
        <v>95.301723999999993</v>
      </c>
      <c r="MO94" s="26">
        <v>2.9507479999999999</v>
      </c>
      <c r="MP94" t="s">
        <v>1030</v>
      </c>
      <c r="MQ94">
        <v>28</v>
      </c>
      <c r="MR94">
        <v>4</v>
      </c>
    </row>
    <row r="95" spans="1:356">
      <c r="A95" t="s">
        <v>255</v>
      </c>
      <c r="B95" t="s">
        <v>256</v>
      </c>
      <c r="C95">
        <v>5673</v>
      </c>
      <c r="D95">
        <v>6734</v>
      </c>
      <c r="E95">
        <v>7526</v>
      </c>
      <c r="F95">
        <f t="shared" si="4"/>
        <v>792</v>
      </c>
      <c r="G95" s="26">
        <f t="shared" si="5"/>
        <v>11.761211761211769</v>
      </c>
      <c r="H95">
        <v>3792</v>
      </c>
      <c r="I95">
        <v>3734</v>
      </c>
      <c r="J95">
        <v>4998</v>
      </c>
      <c r="K95">
        <v>2528</v>
      </c>
      <c r="L95">
        <v>433</v>
      </c>
      <c r="M95">
        <v>464</v>
      </c>
      <c r="N95">
        <v>471</v>
      </c>
      <c r="O95">
        <v>365</v>
      </c>
      <c r="P95">
        <v>290</v>
      </c>
      <c r="Q95">
        <v>296</v>
      </c>
      <c r="R95">
        <v>236</v>
      </c>
      <c r="S95">
        <v>229</v>
      </c>
      <c r="T95">
        <v>209</v>
      </c>
      <c r="U95">
        <v>172</v>
      </c>
      <c r="V95">
        <v>161</v>
      </c>
      <c r="W95">
        <v>118</v>
      </c>
      <c r="X95">
        <v>109</v>
      </c>
      <c r="Y95">
        <v>239</v>
      </c>
      <c r="Z95">
        <v>0</v>
      </c>
      <c r="AA95">
        <v>414</v>
      </c>
      <c r="AB95">
        <v>455</v>
      </c>
      <c r="AC95">
        <v>445</v>
      </c>
      <c r="AD95">
        <v>341</v>
      </c>
      <c r="AE95">
        <v>308</v>
      </c>
      <c r="AF95">
        <v>303</v>
      </c>
      <c r="AG95">
        <v>253</v>
      </c>
      <c r="AH95">
        <v>253</v>
      </c>
      <c r="AI95">
        <v>224</v>
      </c>
      <c r="AJ95">
        <v>183</v>
      </c>
      <c r="AK95">
        <v>164</v>
      </c>
      <c r="AL95">
        <v>113</v>
      </c>
      <c r="AM95">
        <v>81</v>
      </c>
      <c r="AN95">
        <v>197</v>
      </c>
      <c r="AO95">
        <v>0</v>
      </c>
      <c r="AP95">
        <v>7402</v>
      </c>
      <c r="AQ95">
        <v>119</v>
      </c>
      <c r="AR95">
        <v>2</v>
      </c>
      <c r="AS95">
        <v>1</v>
      </c>
      <c r="AT95">
        <v>2</v>
      </c>
      <c r="AU95">
        <v>1121</v>
      </c>
      <c r="AV95">
        <v>582</v>
      </c>
      <c r="AW95">
        <v>539</v>
      </c>
      <c r="AX95">
        <v>608</v>
      </c>
      <c r="AY95">
        <v>886</v>
      </c>
      <c r="AZ95">
        <v>857</v>
      </c>
      <c r="BA95">
        <v>29</v>
      </c>
      <c r="BB95">
        <v>27</v>
      </c>
      <c r="BC95">
        <v>25</v>
      </c>
      <c r="BD95">
        <v>64</v>
      </c>
      <c r="BE95">
        <v>66</v>
      </c>
      <c r="BF95">
        <v>74</v>
      </c>
      <c r="BG95">
        <v>66</v>
      </c>
      <c r="BH95">
        <v>62</v>
      </c>
      <c r="BI95">
        <v>60</v>
      </c>
      <c r="BJ95">
        <v>54</v>
      </c>
      <c r="BK95">
        <v>49</v>
      </c>
      <c r="BL95">
        <v>71</v>
      </c>
      <c r="BM95">
        <v>49</v>
      </c>
      <c r="BN95">
        <v>32</v>
      </c>
      <c r="BO95">
        <v>42</v>
      </c>
      <c r="BP95">
        <v>44</v>
      </c>
      <c r="BQ95">
        <v>47</v>
      </c>
      <c r="BR95">
        <v>36</v>
      </c>
      <c r="BS95">
        <v>30</v>
      </c>
      <c r="BT95">
        <v>25</v>
      </c>
      <c r="BU95">
        <v>33</v>
      </c>
      <c r="BV95">
        <v>23</v>
      </c>
      <c r="BW95">
        <v>15</v>
      </c>
      <c r="BX95">
        <v>16</v>
      </c>
      <c r="BY95">
        <v>15</v>
      </c>
      <c r="BZ95">
        <v>19</v>
      </c>
      <c r="CA95">
        <v>8</v>
      </c>
      <c r="CB95">
        <v>35</v>
      </c>
      <c r="CC95">
        <v>34</v>
      </c>
      <c r="CD95">
        <v>577</v>
      </c>
      <c r="CE95">
        <v>534</v>
      </c>
      <c r="CF95">
        <v>4</v>
      </c>
      <c r="CG95">
        <v>5</v>
      </c>
      <c r="CH95">
        <v>1459</v>
      </c>
      <c r="CI95">
        <v>372</v>
      </c>
      <c r="CJ95">
        <v>6231</v>
      </c>
      <c r="CK95">
        <v>1295</v>
      </c>
      <c r="CL95">
        <v>147</v>
      </c>
      <c r="CM95">
        <v>260</v>
      </c>
      <c r="CN95">
        <v>349</v>
      </c>
      <c r="CO95">
        <v>403</v>
      </c>
      <c r="CP95">
        <v>301</v>
      </c>
      <c r="CQ95">
        <v>371</v>
      </c>
      <c r="CR95">
        <v>1419</v>
      </c>
      <c r="CS95">
        <v>3358</v>
      </c>
      <c r="CT95">
        <v>524</v>
      </c>
      <c r="CU95">
        <v>238</v>
      </c>
      <c r="CV95">
        <v>39</v>
      </c>
      <c r="CW95">
        <v>112</v>
      </c>
      <c r="CX95">
        <v>5</v>
      </c>
      <c r="CY95">
        <v>1241</v>
      </c>
      <c r="CZ95">
        <v>438</v>
      </c>
      <c r="DA95">
        <v>5</v>
      </c>
      <c r="DB95">
        <v>147</v>
      </c>
      <c r="DC95">
        <v>0</v>
      </c>
      <c r="DD95">
        <v>10</v>
      </c>
      <c r="DE95">
        <v>0</v>
      </c>
      <c r="DF95">
        <v>0</v>
      </c>
      <c r="DG95">
        <v>2518</v>
      </c>
      <c r="DH95">
        <v>4998</v>
      </c>
      <c r="DI95">
        <v>0</v>
      </c>
      <c r="DJ95">
        <v>0</v>
      </c>
      <c r="DK95">
        <v>0</v>
      </c>
      <c r="DL95">
        <v>0</v>
      </c>
      <c r="DM95">
        <v>4</v>
      </c>
      <c r="DN95">
        <v>0</v>
      </c>
      <c r="DO95">
        <v>0</v>
      </c>
      <c r="DP95">
        <v>3</v>
      </c>
      <c r="DQ95">
        <v>1</v>
      </c>
      <c r="DR95">
        <v>0</v>
      </c>
      <c r="DS95">
        <v>0</v>
      </c>
      <c r="DT95">
        <v>0</v>
      </c>
      <c r="DU95">
        <v>0</v>
      </c>
      <c r="DV95">
        <v>274</v>
      </c>
      <c r="DW95">
        <v>235</v>
      </c>
      <c r="DX95">
        <v>346</v>
      </c>
      <c r="DY95">
        <v>383</v>
      </c>
      <c r="DZ95">
        <v>179</v>
      </c>
      <c r="EA95">
        <v>110</v>
      </c>
      <c r="EB95">
        <v>85</v>
      </c>
      <c r="EC95">
        <v>51</v>
      </c>
      <c r="ED95">
        <v>72</v>
      </c>
      <c r="EE95">
        <v>79</v>
      </c>
      <c r="EF95">
        <v>121</v>
      </c>
      <c r="EG95">
        <v>113</v>
      </c>
      <c r="EH95">
        <v>55</v>
      </c>
      <c r="EI95">
        <v>24</v>
      </c>
      <c r="EJ95">
        <v>401</v>
      </c>
      <c r="EK95">
        <v>571</v>
      </c>
      <c r="EL95">
        <v>215</v>
      </c>
      <c r="EM95">
        <v>103</v>
      </c>
      <c r="EN95">
        <v>128</v>
      </c>
      <c r="EO95">
        <v>189</v>
      </c>
      <c r="EP95">
        <v>67</v>
      </c>
      <c r="EQ95">
        <v>2181</v>
      </c>
      <c r="ER95">
        <v>2059</v>
      </c>
      <c r="ES95">
        <v>122</v>
      </c>
      <c r="ET95">
        <v>496</v>
      </c>
      <c r="EU95">
        <v>876</v>
      </c>
      <c r="EV95">
        <v>864</v>
      </c>
      <c r="EW95">
        <v>12</v>
      </c>
      <c r="EX95">
        <v>1799</v>
      </c>
      <c r="EY95" s="26">
        <v>55.609940000000002</v>
      </c>
      <c r="EZ95" s="26">
        <v>20.030120999999998</v>
      </c>
      <c r="FA95" s="26">
        <v>13.064759</v>
      </c>
      <c r="FB95" s="26">
        <v>11.21988</v>
      </c>
      <c r="FC95" s="26">
        <v>7.5301000000000007E-2</v>
      </c>
      <c r="FD95">
        <v>508</v>
      </c>
      <c r="FE95">
        <v>1139</v>
      </c>
      <c r="FF95">
        <v>157</v>
      </c>
      <c r="FG95">
        <v>815</v>
      </c>
      <c r="FH95">
        <v>0</v>
      </c>
      <c r="FI95">
        <v>361</v>
      </c>
      <c r="FJ95">
        <v>77</v>
      </c>
      <c r="FK95" s="26" t="s">
        <v>359</v>
      </c>
      <c r="FL95" s="26" t="s">
        <v>359</v>
      </c>
      <c r="FM95" s="26" t="s">
        <v>359</v>
      </c>
      <c r="FN95" s="26" t="s">
        <v>359</v>
      </c>
      <c r="FO95" s="28">
        <v>2981</v>
      </c>
      <c r="FP95" s="28">
        <v>811</v>
      </c>
      <c r="FQ95">
        <v>253</v>
      </c>
      <c r="FR95">
        <v>12</v>
      </c>
      <c r="FS95">
        <v>6</v>
      </c>
      <c r="FT95">
        <v>4</v>
      </c>
      <c r="FU95">
        <v>2703</v>
      </c>
      <c r="FV95">
        <v>6</v>
      </c>
      <c r="FW95">
        <v>8</v>
      </c>
      <c r="FX95">
        <v>0</v>
      </c>
      <c r="FY95">
        <v>3027</v>
      </c>
      <c r="FZ95">
        <v>705</v>
      </c>
      <c r="GA95">
        <v>102</v>
      </c>
      <c r="GB95">
        <v>11</v>
      </c>
      <c r="GC95">
        <v>4</v>
      </c>
      <c r="GD95">
        <v>1</v>
      </c>
      <c r="GE95">
        <v>2860</v>
      </c>
      <c r="GF95">
        <v>6</v>
      </c>
      <c r="GG95">
        <v>5</v>
      </c>
      <c r="GH95">
        <v>2</v>
      </c>
      <c r="GI95">
        <v>305</v>
      </c>
      <c r="GJ95">
        <v>394</v>
      </c>
      <c r="GK95">
        <v>398</v>
      </c>
      <c r="GL95">
        <v>298</v>
      </c>
      <c r="GM95">
        <v>209</v>
      </c>
      <c r="GN95">
        <v>243</v>
      </c>
      <c r="GO95">
        <v>196</v>
      </c>
      <c r="GP95">
        <v>184</v>
      </c>
      <c r="GQ95">
        <v>154</v>
      </c>
      <c r="GR95">
        <v>139</v>
      </c>
      <c r="GS95">
        <v>118</v>
      </c>
      <c r="GT95">
        <v>90</v>
      </c>
      <c r="GU95">
        <v>81</v>
      </c>
      <c r="GV95">
        <v>53</v>
      </c>
      <c r="GW95">
        <v>41</v>
      </c>
      <c r="GX95">
        <v>39</v>
      </c>
      <c r="GY95">
        <v>25</v>
      </c>
      <c r="GZ95">
        <v>14</v>
      </c>
      <c r="HA95">
        <v>298</v>
      </c>
      <c r="HB95">
        <v>384</v>
      </c>
      <c r="HC95">
        <v>382</v>
      </c>
      <c r="HD95">
        <v>261</v>
      </c>
      <c r="HE95">
        <v>250</v>
      </c>
      <c r="HF95">
        <v>265</v>
      </c>
      <c r="HG95">
        <v>225</v>
      </c>
      <c r="HH95">
        <v>209</v>
      </c>
      <c r="HI95">
        <v>186</v>
      </c>
      <c r="HJ95">
        <v>154</v>
      </c>
      <c r="HK95">
        <v>121</v>
      </c>
      <c r="HL95">
        <v>90</v>
      </c>
      <c r="HM95">
        <v>57</v>
      </c>
      <c r="HN95">
        <v>43</v>
      </c>
      <c r="HO95">
        <v>41</v>
      </c>
      <c r="HP95">
        <v>26</v>
      </c>
      <c r="HQ95">
        <v>19</v>
      </c>
      <c r="HR95">
        <v>16</v>
      </c>
      <c r="HS95">
        <v>1730</v>
      </c>
      <c r="HT95">
        <v>0</v>
      </c>
      <c r="HU95">
        <v>0</v>
      </c>
      <c r="HV95">
        <v>0</v>
      </c>
      <c r="HW95">
        <v>0</v>
      </c>
      <c r="HX95">
        <v>0</v>
      </c>
      <c r="HY95">
        <v>0</v>
      </c>
      <c r="HZ95">
        <v>0</v>
      </c>
      <c r="IA95">
        <v>147</v>
      </c>
      <c r="IB95">
        <v>260</v>
      </c>
      <c r="IC95">
        <v>349</v>
      </c>
      <c r="ID95">
        <v>403</v>
      </c>
      <c r="IE95">
        <v>301</v>
      </c>
      <c r="IF95">
        <v>161</v>
      </c>
      <c r="IG95">
        <v>89</v>
      </c>
      <c r="IH95">
        <v>57</v>
      </c>
      <c r="II95">
        <v>64</v>
      </c>
      <c r="IJ95">
        <v>553</v>
      </c>
      <c r="IK95">
        <v>737</v>
      </c>
      <c r="IL95">
        <v>391</v>
      </c>
      <c r="IM95">
        <v>107</v>
      </c>
      <c r="IN95">
        <v>36</v>
      </c>
      <c r="IO95">
        <v>5</v>
      </c>
      <c r="IP95">
        <v>1</v>
      </c>
      <c r="IQ95">
        <v>1</v>
      </c>
      <c r="IR95">
        <v>0</v>
      </c>
      <c r="IS95">
        <v>1197</v>
      </c>
      <c r="IT95">
        <v>501</v>
      </c>
      <c r="IU95">
        <v>109</v>
      </c>
      <c r="IV95">
        <v>21</v>
      </c>
      <c r="IW95">
        <v>3</v>
      </c>
      <c r="IX95">
        <v>796</v>
      </c>
      <c r="IY95">
        <v>761</v>
      </c>
      <c r="IZ95">
        <v>1</v>
      </c>
      <c r="JA95">
        <v>10</v>
      </c>
      <c r="JB95">
        <v>0</v>
      </c>
      <c r="JC95">
        <v>17</v>
      </c>
      <c r="JD95">
        <v>1768</v>
      </c>
      <c r="JE95">
        <v>63</v>
      </c>
      <c r="JF95">
        <v>0</v>
      </c>
      <c r="JH95" s="28">
        <v>1405.8085881799364</v>
      </c>
      <c r="JI95" s="28">
        <v>95.718433939072995</v>
      </c>
      <c r="JJ95">
        <v>165</v>
      </c>
      <c r="JK95">
        <v>1600</v>
      </c>
      <c r="JL95">
        <v>66</v>
      </c>
      <c r="JM95">
        <v>0</v>
      </c>
      <c r="JN95">
        <v>969</v>
      </c>
      <c r="JO95">
        <v>585</v>
      </c>
      <c r="JP95">
        <v>94</v>
      </c>
      <c r="JQ95">
        <v>1050</v>
      </c>
      <c r="JR95">
        <v>1476</v>
      </c>
      <c r="JS95">
        <v>80</v>
      </c>
      <c r="JT95">
        <v>56</v>
      </c>
      <c r="JU95">
        <v>1340</v>
      </c>
      <c r="JV95">
        <v>52</v>
      </c>
      <c r="JW95" s="28"/>
      <c r="JX95" s="28"/>
      <c r="JY95" s="28"/>
      <c r="JZ95" s="28"/>
      <c r="KA95" s="28">
        <v>1786.00000737</v>
      </c>
      <c r="KB95">
        <v>7155</v>
      </c>
      <c r="KC95">
        <v>0</v>
      </c>
      <c r="KD95">
        <v>0</v>
      </c>
      <c r="KE95">
        <v>0</v>
      </c>
      <c r="KF95">
        <v>0</v>
      </c>
      <c r="KG95">
        <v>0</v>
      </c>
      <c r="KH95">
        <v>0</v>
      </c>
      <c r="KI95">
        <v>0</v>
      </c>
      <c r="KJ95">
        <v>626</v>
      </c>
      <c r="KK95">
        <v>6639</v>
      </c>
      <c r="KL95">
        <v>261</v>
      </c>
      <c r="KM95">
        <v>0</v>
      </c>
      <c r="KT95">
        <v>1130</v>
      </c>
      <c r="KU95">
        <v>1091</v>
      </c>
      <c r="KV95">
        <v>998</v>
      </c>
      <c r="KW95">
        <v>89</v>
      </c>
      <c r="KX95">
        <v>13</v>
      </c>
      <c r="KZ95">
        <v>991</v>
      </c>
      <c r="LA95">
        <v>69</v>
      </c>
      <c r="LB95">
        <v>15</v>
      </c>
      <c r="LD95">
        <v>659</v>
      </c>
      <c r="LE95">
        <v>659</v>
      </c>
      <c r="LF95">
        <v>473</v>
      </c>
      <c r="LG95">
        <v>560</v>
      </c>
      <c r="LH95">
        <v>4844</v>
      </c>
      <c r="LI95">
        <v>12</v>
      </c>
      <c r="LJ95">
        <v>394</v>
      </c>
      <c r="LK95">
        <v>97</v>
      </c>
      <c r="LL95">
        <v>587</v>
      </c>
      <c r="LM95">
        <v>0</v>
      </c>
      <c r="LN95">
        <v>222</v>
      </c>
      <c r="LO95">
        <v>36</v>
      </c>
      <c r="LP95">
        <v>10</v>
      </c>
      <c r="LQ95">
        <v>362</v>
      </c>
      <c r="LR95">
        <v>98</v>
      </c>
      <c r="LS95">
        <v>766</v>
      </c>
      <c r="LT95">
        <v>1</v>
      </c>
      <c r="LU95">
        <v>187</v>
      </c>
      <c r="LV95">
        <v>19</v>
      </c>
      <c r="LW95" s="44"/>
      <c r="LX95" s="44"/>
      <c r="LY95" s="44"/>
      <c r="LZ95">
        <v>1831</v>
      </c>
      <c r="MA95">
        <v>7526</v>
      </c>
      <c r="MB95">
        <v>7202</v>
      </c>
      <c r="MC95">
        <v>610</v>
      </c>
      <c r="MD95" s="26">
        <v>21.325350999999998</v>
      </c>
      <c r="ME95" s="26">
        <v>7.4500299999999999</v>
      </c>
      <c r="MF95" s="26">
        <v>57.638314999999999</v>
      </c>
      <c r="MG95" s="26">
        <v>20.143502999999999</v>
      </c>
      <c r="MH95" s="26">
        <v>9.011469</v>
      </c>
      <c r="MI95" s="26">
        <v>3.932277</v>
      </c>
      <c r="MJ95" s="26">
        <v>1.747679</v>
      </c>
      <c r="MK95" s="26">
        <v>3.4407429999999999</v>
      </c>
      <c r="ML95" s="26">
        <v>2.4576729999999998</v>
      </c>
      <c r="MM95" s="26">
        <v>68.050246000000001</v>
      </c>
      <c r="MN95" s="26">
        <v>47.078098999999995</v>
      </c>
      <c r="MO95" s="26">
        <v>0.67393899999999995</v>
      </c>
      <c r="MP95" t="s">
        <v>1029</v>
      </c>
      <c r="MQ95">
        <v>521</v>
      </c>
      <c r="MR95">
        <v>49</v>
      </c>
    </row>
    <row r="96" spans="1:356">
      <c r="A96" t="s">
        <v>273</v>
      </c>
      <c r="B96" t="s">
        <v>274</v>
      </c>
      <c r="C96">
        <v>2174</v>
      </c>
      <c r="D96">
        <v>3245</v>
      </c>
      <c r="E96">
        <v>4959</v>
      </c>
      <c r="F96">
        <f t="shared" si="4"/>
        <v>1714</v>
      </c>
      <c r="G96" s="26">
        <f t="shared" si="5"/>
        <v>52.819722650231114</v>
      </c>
      <c r="H96">
        <v>2451</v>
      </c>
      <c r="I96">
        <v>2508</v>
      </c>
      <c r="J96">
        <v>0</v>
      </c>
      <c r="K96">
        <v>4959</v>
      </c>
      <c r="L96">
        <v>372</v>
      </c>
      <c r="M96">
        <v>370</v>
      </c>
      <c r="N96">
        <v>350</v>
      </c>
      <c r="O96">
        <v>276</v>
      </c>
      <c r="P96">
        <v>249</v>
      </c>
      <c r="Q96">
        <v>191</v>
      </c>
      <c r="R96">
        <v>182</v>
      </c>
      <c r="S96">
        <v>110</v>
      </c>
      <c r="T96">
        <v>79</v>
      </c>
      <c r="U96">
        <v>62</v>
      </c>
      <c r="V96">
        <v>51</v>
      </c>
      <c r="W96">
        <v>51</v>
      </c>
      <c r="X96">
        <v>37</v>
      </c>
      <c r="Y96">
        <v>71</v>
      </c>
      <c r="Z96">
        <v>0</v>
      </c>
      <c r="AA96">
        <v>382</v>
      </c>
      <c r="AB96">
        <v>382</v>
      </c>
      <c r="AC96">
        <v>318</v>
      </c>
      <c r="AD96">
        <v>276</v>
      </c>
      <c r="AE96">
        <v>277</v>
      </c>
      <c r="AF96">
        <v>212</v>
      </c>
      <c r="AG96">
        <v>168</v>
      </c>
      <c r="AH96">
        <v>142</v>
      </c>
      <c r="AI96">
        <v>65</v>
      </c>
      <c r="AJ96">
        <v>79</v>
      </c>
      <c r="AK96">
        <v>53</v>
      </c>
      <c r="AL96">
        <v>54</v>
      </c>
      <c r="AM96">
        <v>31</v>
      </c>
      <c r="AN96">
        <v>69</v>
      </c>
      <c r="AO96">
        <v>0</v>
      </c>
      <c r="AP96">
        <v>4957</v>
      </c>
      <c r="AQ96">
        <v>2</v>
      </c>
      <c r="AR96">
        <v>0</v>
      </c>
      <c r="AS96">
        <v>0</v>
      </c>
      <c r="AT96">
        <v>0</v>
      </c>
      <c r="AU96">
        <v>4432</v>
      </c>
      <c r="AV96">
        <v>2182</v>
      </c>
      <c r="AW96">
        <v>2250</v>
      </c>
      <c r="AX96">
        <v>1382</v>
      </c>
      <c r="AY96">
        <v>2815</v>
      </c>
      <c r="AZ96">
        <v>2815</v>
      </c>
      <c r="BA96">
        <v>0</v>
      </c>
      <c r="BB96">
        <v>132</v>
      </c>
      <c r="BC96">
        <v>150</v>
      </c>
      <c r="BD96">
        <v>360</v>
      </c>
      <c r="BE96">
        <v>375</v>
      </c>
      <c r="BF96">
        <v>344</v>
      </c>
      <c r="BG96">
        <v>316</v>
      </c>
      <c r="BH96">
        <v>271</v>
      </c>
      <c r="BI96">
        <v>272</v>
      </c>
      <c r="BJ96">
        <v>249</v>
      </c>
      <c r="BK96">
        <v>272</v>
      </c>
      <c r="BL96">
        <v>190</v>
      </c>
      <c r="BM96">
        <v>210</v>
      </c>
      <c r="BN96">
        <v>182</v>
      </c>
      <c r="BO96">
        <v>165</v>
      </c>
      <c r="BP96">
        <v>109</v>
      </c>
      <c r="BQ96">
        <v>142</v>
      </c>
      <c r="BR96">
        <v>77</v>
      </c>
      <c r="BS96">
        <v>64</v>
      </c>
      <c r="BT96">
        <v>61</v>
      </c>
      <c r="BU96">
        <v>78</v>
      </c>
      <c r="BV96">
        <v>50</v>
      </c>
      <c r="BW96">
        <v>53</v>
      </c>
      <c r="BX96">
        <v>51</v>
      </c>
      <c r="BY96">
        <v>54</v>
      </c>
      <c r="BZ96">
        <v>36</v>
      </c>
      <c r="CA96">
        <v>30</v>
      </c>
      <c r="CB96">
        <v>70</v>
      </c>
      <c r="CC96">
        <v>69</v>
      </c>
      <c r="CD96">
        <v>1416</v>
      </c>
      <c r="CE96">
        <v>1016</v>
      </c>
      <c r="CF96">
        <v>736</v>
      </c>
      <c r="CG96">
        <v>1211</v>
      </c>
      <c r="CH96">
        <v>813</v>
      </c>
      <c r="CI96">
        <v>98</v>
      </c>
      <c r="CJ96">
        <v>4562</v>
      </c>
      <c r="CK96">
        <v>397</v>
      </c>
      <c r="CL96">
        <v>32</v>
      </c>
      <c r="CM96">
        <v>82</v>
      </c>
      <c r="CN96">
        <v>99</v>
      </c>
      <c r="CO96">
        <v>129</v>
      </c>
      <c r="CP96">
        <v>147</v>
      </c>
      <c r="CQ96">
        <v>422</v>
      </c>
      <c r="CR96">
        <v>798</v>
      </c>
      <c r="CS96">
        <v>2935</v>
      </c>
      <c r="CT96">
        <v>141</v>
      </c>
      <c r="CU96">
        <v>76</v>
      </c>
      <c r="CV96">
        <v>38</v>
      </c>
      <c r="CW96">
        <v>60</v>
      </c>
      <c r="CX96">
        <v>0</v>
      </c>
      <c r="CY96">
        <v>724</v>
      </c>
      <c r="CZ96">
        <v>155</v>
      </c>
      <c r="DA96">
        <v>0</v>
      </c>
      <c r="DB96">
        <v>32</v>
      </c>
      <c r="DC96">
        <v>0</v>
      </c>
      <c r="DD96">
        <v>336</v>
      </c>
      <c r="DE96">
        <v>988</v>
      </c>
      <c r="DF96">
        <v>1187</v>
      </c>
      <c r="DG96">
        <v>2448</v>
      </c>
      <c r="DH96">
        <v>0</v>
      </c>
      <c r="DI96">
        <v>0</v>
      </c>
      <c r="DJ96">
        <v>0</v>
      </c>
      <c r="DK96">
        <v>0</v>
      </c>
      <c r="DL96">
        <v>0</v>
      </c>
      <c r="DM96">
        <v>7</v>
      </c>
      <c r="DN96">
        <v>6</v>
      </c>
      <c r="DO96">
        <v>3</v>
      </c>
      <c r="DP96">
        <v>2</v>
      </c>
      <c r="DQ96">
        <v>0</v>
      </c>
      <c r="DR96">
        <v>0</v>
      </c>
      <c r="DS96">
        <v>0</v>
      </c>
      <c r="DT96">
        <v>0</v>
      </c>
      <c r="DU96">
        <v>0</v>
      </c>
      <c r="DV96">
        <v>84</v>
      </c>
      <c r="DW96">
        <v>100</v>
      </c>
      <c r="DX96">
        <v>79</v>
      </c>
      <c r="DY96">
        <v>95</v>
      </c>
      <c r="DZ96">
        <v>53</v>
      </c>
      <c r="EA96">
        <v>44</v>
      </c>
      <c r="EB96">
        <v>28</v>
      </c>
      <c r="EC96">
        <v>30</v>
      </c>
      <c r="ED96">
        <v>34</v>
      </c>
      <c r="EE96">
        <v>41</v>
      </c>
      <c r="EF96">
        <v>73</v>
      </c>
      <c r="EG96">
        <v>98</v>
      </c>
      <c r="EH96">
        <v>17</v>
      </c>
      <c r="EI96">
        <v>10</v>
      </c>
      <c r="EJ96">
        <v>177</v>
      </c>
      <c r="EK96">
        <v>166</v>
      </c>
      <c r="EL96">
        <v>90</v>
      </c>
      <c r="EM96">
        <v>53</v>
      </c>
      <c r="EN96">
        <v>68</v>
      </c>
      <c r="EO96">
        <v>165</v>
      </c>
      <c r="EP96">
        <v>25</v>
      </c>
      <c r="EQ96">
        <v>1065</v>
      </c>
      <c r="ER96">
        <v>1031</v>
      </c>
      <c r="ES96">
        <v>34</v>
      </c>
      <c r="ET96">
        <v>484</v>
      </c>
      <c r="EU96">
        <v>262</v>
      </c>
      <c r="EV96">
        <v>259</v>
      </c>
      <c r="EW96">
        <v>3</v>
      </c>
      <c r="EX96">
        <v>1347</v>
      </c>
      <c r="EY96" s="26">
        <v>87.928348999999997</v>
      </c>
      <c r="EZ96" s="26">
        <v>5.2959510000000005</v>
      </c>
      <c r="FA96" s="26">
        <v>2.9595020000000001</v>
      </c>
      <c r="FB96" s="26">
        <v>3.6604359999999998</v>
      </c>
      <c r="FC96" s="26">
        <v>0.15576300000000001</v>
      </c>
      <c r="FD96">
        <v>285</v>
      </c>
      <c r="FE96">
        <v>425</v>
      </c>
      <c r="FF96">
        <v>47</v>
      </c>
      <c r="FG96">
        <v>305</v>
      </c>
      <c r="FH96">
        <v>1</v>
      </c>
      <c r="FI96">
        <v>246</v>
      </c>
      <c r="FJ96">
        <v>18</v>
      </c>
      <c r="FK96" s="26" t="s">
        <v>359</v>
      </c>
      <c r="FL96" s="26" t="s">
        <v>359</v>
      </c>
      <c r="FM96" s="26" t="s">
        <v>359</v>
      </c>
      <c r="FN96" s="26" t="s">
        <v>359</v>
      </c>
      <c r="FO96" s="28">
        <v>2273</v>
      </c>
      <c r="FP96" s="28">
        <v>178</v>
      </c>
      <c r="FQ96">
        <v>50</v>
      </c>
      <c r="FR96">
        <v>0</v>
      </c>
      <c r="FS96">
        <v>0</v>
      </c>
      <c r="FT96">
        <v>0</v>
      </c>
      <c r="FU96">
        <v>2033</v>
      </c>
      <c r="FV96">
        <v>42</v>
      </c>
      <c r="FW96">
        <v>31</v>
      </c>
      <c r="FX96">
        <v>0</v>
      </c>
      <c r="FY96">
        <v>2333</v>
      </c>
      <c r="FZ96">
        <v>175</v>
      </c>
      <c r="GA96">
        <v>43</v>
      </c>
      <c r="GB96">
        <v>1</v>
      </c>
      <c r="GC96">
        <v>0</v>
      </c>
      <c r="GD96">
        <v>0</v>
      </c>
      <c r="GE96">
        <v>2108</v>
      </c>
      <c r="GF96">
        <v>47</v>
      </c>
      <c r="GG96">
        <v>26</v>
      </c>
      <c r="GH96">
        <v>0</v>
      </c>
      <c r="GI96">
        <v>303</v>
      </c>
      <c r="GJ96">
        <v>351</v>
      </c>
      <c r="GK96">
        <v>333</v>
      </c>
      <c r="GL96">
        <v>263</v>
      </c>
      <c r="GM96">
        <v>226</v>
      </c>
      <c r="GN96">
        <v>183</v>
      </c>
      <c r="GO96">
        <v>174</v>
      </c>
      <c r="GP96">
        <v>107</v>
      </c>
      <c r="GQ96">
        <v>75</v>
      </c>
      <c r="GR96">
        <v>59</v>
      </c>
      <c r="GS96">
        <v>47</v>
      </c>
      <c r="GT96">
        <v>49</v>
      </c>
      <c r="GU96">
        <v>36</v>
      </c>
      <c r="GV96">
        <v>26</v>
      </c>
      <c r="GW96">
        <v>12</v>
      </c>
      <c r="GX96">
        <v>8</v>
      </c>
      <c r="GY96">
        <v>6</v>
      </c>
      <c r="GZ96">
        <v>15</v>
      </c>
      <c r="HA96">
        <v>303</v>
      </c>
      <c r="HB96">
        <v>366</v>
      </c>
      <c r="HC96">
        <v>306</v>
      </c>
      <c r="HD96">
        <v>259</v>
      </c>
      <c r="HE96">
        <v>260</v>
      </c>
      <c r="HF96">
        <v>206</v>
      </c>
      <c r="HG96">
        <v>160</v>
      </c>
      <c r="HH96">
        <v>136</v>
      </c>
      <c r="HI96">
        <v>64</v>
      </c>
      <c r="HJ96">
        <v>79</v>
      </c>
      <c r="HK96">
        <v>51</v>
      </c>
      <c r="HL96">
        <v>50</v>
      </c>
      <c r="HM96">
        <v>28</v>
      </c>
      <c r="HN96">
        <v>22</v>
      </c>
      <c r="HO96">
        <v>13</v>
      </c>
      <c r="HP96">
        <v>8</v>
      </c>
      <c r="HQ96">
        <v>8</v>
      </c>
      <c r="HR96">
        <v>14</v>
      </c>
      <c r="HS96">
        <v>892</v>
      </c>
      <c r="HT96">
        <v>0</v>
      </c>
      <c r="HU96">
        <v>0</v>
      </c>
      <c r="HV96">
        <v>0</v>
      </c>
      <c r="HW96">
        <v>0</v>
      </c>
      <c r="HX96">
        <v>0</v>
      </c>
      <c r="HY96">
        <v>0</v>
      </c>
      <c r="HZ96">
        <v>0</v>
      </c>
      <c r="IA96">
        <v>32</v>
      </c>
      <c r="IB96">
        <v>82</v>
      </c>
      <c r="IC96">
        <v>99</v>
      </c>
      <c r="ID96">
        <v>129</v>
      </c>
      <c r="IE96">
        <v>147</v>
      </c>
      <c r="IF96">
        <v>156</v>
      </c>
      <c r="IG96">
        <v>96</v>
      </c>
      <c r="IH96">
        <v>67</v>
      </c>
      <c r="II96">
        <v>103</v>
      </c>
      <c r="IJ96">
        <v>94</v>
      </c>
      <c r="IK96">
        <v>288</v>
      </c>
      <c r="IL96">
        <v>341</v>
      </c>
      <c r="IM96">
        <v>139</v>
      </c>
      <c r="IN96">
        <v>41</v>
      </c>
      <c r="IO96">
        <v>4</v>
      </c>
      <c r="IP96">
        <v>2</v>
      </c>
      <c r="IQ96">
        <v>0</v>
      </c>
      <c r="IR96">
        <v>2</v>
      </c>
      <c r="IS96">
        <v>330</v>
      </c>
      <c r="IT96">
        <v>373</v>
      </c>
      <c r="IU96">
        <v>153</v>
      </c>
      <c r="IV96">
        <v>47</v>
      </c>
      <c r="IW96">
        <v>8</v>
      </c>
      <c r="IX96">
        <v>8</v>
      </c>
      <c r="IY96">
        <v>262</v>
      </c>
      <c r="IZ96">
        <v>0</v>
      </c>
      <c r="JA96">
        <v>9</v>
      </c>
      <c r="JB96">
        <v>1</v>
      </c>
      <c r="JC96">
        <v>11</v>
      </c>
      <c r="JD96">
        <v>860</v>
      </c>
      <c r="JE96">
        <v>51</v>
      </c>
      <c r="JF96">
        <v>0</v>
      </c>
      <c r="JH96" s="28">
        <v>601.22090921419999</v>
      </c>
      <c r="JI96" s="28">
        <v>31.534727154532941</v>
      </c>
      <c r="JJ96">
        <v>205</v>
      </c>
      <c r="JK96">
        <v>666</v>
      </c>
      <c r="JL96">
        <v>40</v>
      </c>
      <c r="JM96">
        <v>0</v>
      </c>
      <c r="JN96">
        <v>54</v>
      </c>
      <c r="JO96">
        <v>10</v>
      </c>
      <c r="JP96">
        <v>86</v>
      </c>
      <c r="JQ96">
        <v>212</v>
      </c>
      <c r="JR96">
        <v>451</v>
      </c>
      <c r="JS96">
        <v>6</v>
      </c>
      <c r="JT96">
        <v>7</v>
      </c>
      <c r="JU96">
        <v>362</v>
      </c>
      <c r="JV96">
        <v>7</v>
      </c>
      <c r="JW96" s="28"/>
      <c r="JX96" s="28"/>
      <c r="JY96" s="28"/>
      <c r="JZ96" s="28"/>
      <c r="KA96" s="28">
        <v>904.00000353999997</v>
      </c>
      <c r="KB96">
        <v>4872</v>
      </c>
      <c r="KC96">
        <v>0</v>
      </c>
      <c r="KD96">
        <v>0</v>
      </c>
      <c r="KE96">
        <v>0</v>
      </c>
      <c r="KF96">
        <v>0</v>
      </c>
      <c r="KG96">
        <v>0</v>
      </c>
      <c r="KH96">
        <v>0</v>
      </c>
      <c r="KI96">
        <v>0</v>
      </c>
      <c r="KJ96">
        <v>1074</v>
      </c>
      <c r="KK96">
        <v>3669</v>
      </c>
      <c r="KL96">
        <v>216</v>
      </c>
      <c r="KM96">
        <v>0</v>
      </c>
      <c r="KT96">
        <v>857</v>
      </c>
      <c r="KU96">
        <v>822</v>
      </c>
      <c r="KV96">
        <v>752</v>
      </c>
      <c r="KW96">
        <v>82</v>
      </c>
      <c r="KX96">
        <v>9</v>
      </c>
      <c r="KZ96">
        <v>742</v>
      </c>
      <c r="LA96">
        <v>58</v>
      </c>
      <c r="LB96">
        <v>8</v>
      </c>
      <c r="LD96">
        <v>432</v>
      </c>
      <c r="LE96">
        <v>425</v>
      </c>
      <c r="LF96">
        <v>268</v>
      </c>
      <c r="LG96">
        <v>657</v>
      </c>
      <c r="LH96">
        <v>2785</v>
      </c>
      <c r="LI96">
        <v>0</v>
      </c>
      <c r="LJ96">
        <v>275</v>
      </c>
      <c r="LK96">
        <v>68</v>
      </c>
      <c r="LL96">
        <v>331</v>
      </c>
      <c r="LM96">
        <v>0</v>
      </c>
      <c r="LN96">
        <v>220</v>
      </c>
      <c r="LO96">
        <v>12</v>
      </c>
      <c r="LP96">
        <v>0</v>
      </c>
      <c r="LQ96">
        <v>236</v>
      </c>
      <c r="LR96">
        <v>67</v>
      </c>
      <c r="LS96">
        <v>199</v>
      </c>
      <c r="LT96">
        <v>1</v>
      </c>
      <c r="LU96">
        <v>119</v>
      </c>
      <c r="LV96">
        <v>5</v>
      </c>
      <c r="LW96" s="44"/>
      <c r="LX96" s="44"/>
      <c r="LY96" s="44"/>
      <c r="LZ96">
        <v>911</v>
      </c>
      <c r="MA96">
        <v>4959</v>
      </c>
      <c r="MB96">
        <v>3684</v>
      </c>
      <c r="MC96">
        <v>3372</v>
      </c>
      <c r="MD96" s="26">
        <v>33.213645</v>
      </c>
      <c r="ME96" s="26">
        <v>7.3957509999999997</v>
      </c>
      <c r="MF96" s="26">
        <v>62.585277999999995</v>
      </c>
      <c r="MG96" s="26">
        <v>7.1183709999999998</v>
      </c>
      <c r="MH96" s="26">
        <v>22.502744</v>
      </c>
      <c r="MI96" s="26">
        <v>5.4884740000000001</v>
      </c>
      <c r="MJ96" s="26">
        <v>1.646542</v>
      </c>
      <c r="MK96" s="26">
        <v>5.5982439999999993</v>
      </c>
      <c r="ML96" s="26">
        <v>0.76838600000000001</v>
      </c>
      <c r="MM96" s="26">
        <v>98.902304999999998</v>
      </c>
      <c r="MN96" s="26">
        <v>94.072447999999994</v>
      </c>
      <c r="MO96" s="26">
        <v>1.8684269999999998</v>
      </c>
      <c r="MP96" t="s">
        <v>1030</v>
      </c>
      <c r="MQ96">
        <v>140</v>
      </c>
      <c r="MR96">
        <v>14</v>
      </c>
    </row>
    <row r="97" spans="1:356">
      <c r="A97" t="s">
        <v>197</v>
      </c>
      <c r="B97" t="s">
        <v>198</v>
      </c>
      <c r="C97">
        <v>32457</v>
      </c>
      <c r="D97">
        <v>38143</v>
      </c>
      <c r="E97">
        <v>25937</v>
      </c>
      <c r="F97">
        <f t="shared" si="4"/>
        <v>-12206</v>
      </c>
      <c r="G97" s="26">
        <f t="shared" si="5"/>
        <v>-32.000629211126551</v>
      </c>
      <c r="H97">
        <v>13026</v>
      </c>
      <c r="I97">
        <v>12911</v>
      </c>
      <c r="J97">
        <v>3645</v>
      </c>
      <c r="K97">
        <v>22292</v>
      </c>
      <c r="L97">
        <v>1661</v>
      </c>
      <c r="M97">
        <v>1642</v>
      </c>
      <c r="N97">
        <v>1634</v>
      </c>
      <c r="O97">
        <v>1349</v>
      </c>
      <c r="P97">
        <v>974</v>
      </c>
      <c r="Q97">
        <v>839</v>
      </c>
      <c r="R97">
        <v>746</v>
      </c>
      <c r="S97">
        <v>807</v>
      </c>
      <c r="T97">
        <v>700</v>
      </c>
      <c r="U97">
        <v>557</v>
      </c>
      <c r="V97">
        <v>501</v>
      </c>
      <c r="W97">
        <v>385</v>
      </c>
      <c r="X97">
        <v>357</v>
      </c>
      <c r="Y97">
        <v>874</v>
      </c>
      <c r="Z97">
        <v>0</v>
      </c>
      <c r="AA97">
        <v>1448</v>
      </c>
      <c r="AB97">
        <v>1574</v>
      </c>
      <c r="AC97">
        <v>1498</v>
      </c>
      <c r="AD97">
        <v>1355</v>
      </c>
      <c r="AE97">
        <v>1033</v>
      </c>
      <c r="AF97">
        <v>983</v>
      </c>
      <c r="AG97">
        <v>867</v>
      </c>
      <c r="AH97">
        <v>805</v>
      </c>
      <c r="AI97">
        <v>744</v>
      </c>
      <c r="AJ97">
        <v>557</v>
      </c>
      <c r="AK97">
        <v>507</v>
      </c>
      <c r="AL97">
        <v>420</v>
      </c>
      <c r="AM97">
        <v>312</v>
      </c>
      <c r="AN97">
        <v>808</v>
      </c>
      <c r="AO97">
        <v>0</v>
      </c>
      <c r="AP97">
        <v>25652</v>
      </c>
      <c r="AQ97">
        <v>188</v>
      </c>
      <c r="AR97">
        <v>41</v>
      </c>
      <c r="AS97">
        <v>51</v>
      </c>
      <c r="AT97">
        <v>5</v>
      </c>
      <c r="AU97">
        <v>61</v>
      </c>
      <c r="AV97">
        <v>40</v>
      </c>
      <c r="AW97">
        <v>21</v>
      </c>
      <c r="AX97">
        <v>144</v>
      </c>
      <c r="AY97">
        <v>97</v>
      </c>
      <c r="AZ97">
        <v>95</v>
      </c>
      <c r="BA97">
        <v>2</v>
      </c>
      <c r="BB97">
        <v>0</v>
      </c>
      <c r="BC97">
        <v>0</v>
      </c>
      <c r="BD97">
        <v>1</v>
      </c>
      <c r="BE97">
        <v>0</v>
      </c>
      <c r="BF97">
        <v>0</v>
      </c>
      <c r="BG97">
        <v>0</v>
      </c>
      <c r="BH97">
        <v>2</v>
      </c>
      <c r="BI97">
        <v>0</v>
      </c>
      <c r="BJ97">
        <v>0</v>
      </c>
      <c r="BK97">
        <v>0</v>
      </c>
      <c r="BL97">
        <v>0</v>
      </c>
      <c r="BM97">
        <v>0</v>
      </c>
      <c r="BN97">
        <v>2</v>
      </c>
      <c r="BO97">
        <v>1</v>
      </c>
      <c r="BP97">
        <v>2</v>
      </c>
      <c r="BQ97">
        <v>0</v>
      </c>
      <c r="BR97">
        <v>2</v>
      </c>
      <c r="BS97">
        <v>2</v>
      </c>
      <c r="BT97">
        <v>4</v>
      </c>
      <c r="BU97">
        <v>1</v>
      </c>
      <c r="BV97">
        <v>3</v>
      </c>
      <c r="BW97">
        <v>1</v>
      </c>
      <c r="BX97">
        <v>2</v>
      </c>
      <c r="BY97">
        <v>1</v>
      </c>
      <c r="BZ97">
        <v>3</v>
      </c>
      <c r="CA97">
        <v>2</v>
      </c>
      <c r="CB97">
        <v>19</v>
      </c>
      <c r="CC97">
        <v>13</v>
      </c>
      <c r="CD97">
        <v>40</v>
      </c>
      <c r="CE97">
        <v>21</v>
      </c>
      <c r="CF97">
        <v>0</v>
      </c>
      <c r="CG97">
        <v>0</v>
      </c>
      <c r="CH97">
        <v>4289</v>
      </c>
      <c r="CI97">
        <v>917</v>
      </c>
      <c r="CJ97">
        <v>22152</v>
      </c>
      <c r="CK97">
        <v>3768</v>
      </c>
      <c r="CL97">
        <v>216</v>
      </c>
      <c r="CM97">
        <v>479</v>
      </c>
      <c r="CN97">
        <v>737</v>
      </c>
      <c r="CO97">
        <v>1010</v>
      </c>
      <c r="CP97">
        <v>912</v>
      </c>
      <c r="CQ97">
        <v>1852</v>
      </c>
      <c r="CR97">
        <v>4039</v>
      </c>
      <c r="CS97">
        <v>12168</v>
      </c>
      <c r="CT97">
        <v>2756</v>
      </c>
      <c r="CU97">
        <v>903</v>
      </c>
      <c r="CV97">
        <v>303</v>
      </c>
      <c r="CW97">
        <v>522</v>
      </c>
      <c r="CX97">
        <v>23</v>
      </c>
      <c r="CY97">
        <v>3202</v>
      </c>
      <c r="CZ97">
        <v>1770</v>
      </c>
      <c r="DA97">
        <v>16</v>
      </c>
      <c r="DB97">
        <v>216</v>
      </c>
      <c r="DC97">
        <v>2</v>
      </c>
      <c r="DD97">
        <v>1790</v>
      </c>
      <c r="DE97">
        <v>5081</v>
      </c>
      <c r="DF97">
        <v>9077</v>
      </c>
      <c r="DG97">
        <v>6344</v>
      </c>
      <c r="DH97">
        <v>3645</v>
      </c>
      <c r="DI97">
        <v>0</v>
      </c>
      <c r="DJ97">
        <v>0</v>
      </c>
      <c r="DK97">
        <v>0</v>
      </c>
      <c r="DL97">
        <v>0</v>
      </c>
      <c r="DM97">
        <v>36</v>
      </c>
      <c r="DN97">
        <v>32</v>
      </c>
      <c r="DO97">
        <v>27</v>
      </c>
      <c r="DP97">
        <v>7</v>
      </c>
      <c r="DQ97">
        <v>1</v>
      </c>
      <c r="DR97">
        <v>0</v>
      </c>
      <c r="DS97">
        <v>0</v>
      </c>
      <c r="DT97">
        <v>0</v>
      </c>
      <c r="DU97">
        <v>0</v>
      </c>
      <c r="DV97">
        <v>380</v>
      </c>
      <c r="DW97">
        <v>339</v>
      </c>
      <c r="DX97">
        <v>567</v>
      </c>
      <c r="DY97">
        <v>566</v>
      </c>
      <c r="DZ97">
        <v>277</v>
      </c>
      <c r="EA97">
        <v>272</v>
      </c>
      <c r="EB97">
        <v>220</v>
      </c>
      <c r="EC97">
        <v>174</v>
      </c>
      <c r="ED97">
        <v>219</v>
      </c>
      <c r="EE97">
        <v>180</v>
      </c>
      <c r="EF97">
        <v>207</v>
      </c>
      <c r="EG97">
        <v>201</v>
      </c>
      <c r="EH97">
        <v>108</v>
      </c>
      <c r="EI97">
        <v>79</v>
      </c>
      <c r="EJ97">
        <v>652</v>
      </c>
      <c r="EK97">
        <v>1021</v>
      </c>
      <c r="EL97">
        <v>492</v>
      </c>
      <c r="EM97">
        <v>354</v>
      </c>
      <c r="EN97">
        <v>358</v>
      </c>
      <c r="EO97">
        <v>367</v>
      </c>
      <c r="EP97">
        <v>163</v>
      </c>
      <c r="EQ97">
        <v>6974</v>
      </c>
      <c r="ER97">
        <v>6920</v>
      </c>
      <c r="ES97">
        <v>54</v>
      </c>
      <c r="ET97">
        <v>2056</v>
      </c>
      <c r="EU97">
        <v>2329</v>
      </c>
      <c r="EV97">
        <v>2299</v>
      </c>
      <c r="EW97">
        <v>30</v>
      </c>
      <c r="EX97">
        <v>6940</v>
      </c>
      <c r="EY97" s="26">
        <v>78.486356000000001</v>
      </c>
      <c r="EZ97" s="26">
        <v>3.6333489999999999</v>
      </c>
      <c r="FA97" s="26">
        <v>5.6535500000000001</v>
      </c>
      <c r="FB97" s="26">
        <v>11.970451000000001</v>
      </c>
      <c r="FC97" s="26">
        <v>0.25629400000000002</v>
      </c>
      <c r="FD97">
        <v>752</v>
      </c>
      <c r="FE97">
        <v>4079</v>
      </c>
      <c r="FF97">
        <v>305</v>
      </c>
      <c r="FG97">
        <v>2236</v>
      </c>
      <c r="FH97">
        <v>3</v>
      </c>
      <c r="FI97">
        <v>1335</v>
      </c>
      <c r="FJ97">
        <v>590</v>
      </c>
      <c r="FK97" s="26" t="s">
        <v>359</v>
      </c>
      <c r="FL97" s="26" t="s">
        <v>359</v>
      </c>
      <c r="FM97" s="26" t="s">
        <v>359</v>
      </c>
      <c r="FN97" s="26" t="s">
        <v>359</v>
      </c>
      <c r="FO97" s="28">
        <v>11428</v>
      </c>
      <c r="FP97" s="28">
        <v>1597</v>
      </c>
      <c r="FQ97">
        <v>206</v>
      </c>
      <c r="FR97">
        <v>98</v>
      </c>
      <c r="FS97">
        <v>15</v>
      </c>
      <c r="FT97">
        <v>3</v>
      </c>
      <c r="FU97">
        <v>10732</v>
      </c>
      <c r="FV97">
        <v>3</v>
      </c>
      <c r="FW97">
        <v>12</v>
      </c>
      <c r="FX97">
        <v>1</v>
      </c>
      <c r="FY97">
        <v>11614</v>
      </c>
      <c r="FZ97">
        <v>1296</v>
      </c>
      <c r="GA97">
        <v>187</v>
      </c>
      <c r="GB97">
        <v>97</v>
      </c>
      <c r="GC97">
        <v>10</v>
      </c>
      <c r="GD97">
        <v>3</v>
      </c>
      <c r="GE97">
        <v>10942</v>
      </c>
      <c r="GF97">
        <v>3</v>
      </c>
      <c r="GG97">
        <v>6</v>
      </c>
      <c r="GH97">
        <v>1</v>
      </c>
      <c r="GI97">
        <v>1320</v>
      </c>
      <c r="GJ97">
        <v>1511</v>
      </c>
      <c r="GK97">
        <v>1493</v>
      </c>
      <c r="GL97">
        <v>1181</v>
      </c>
      <c r="GM97">
        <v>841</v>
      </c>
      <c r="GN97">
        <v>724</v>
      </c>
      <c r="GO97">
        <v>671</v>
      </c>
      <c r="GP97">
        <v>711</v>
      </c>
      <c r="GQ97">
        <v>619</v>
      </c>
      <c r="GR97">
        <v>500</v>
      </c>
      <c r="GS97">
        <v>432</v>
      </c>
      <c r="GT97">
        <v>345</v>
      </c>
      <c r="GU97">
        <v>305</v>
      </c>
      <c r="GV97">
        <v>249</v>
      </c>
      <c r="GW97">
        <v>199</v>
      </c>
      <c r="GX97">
        <v>154</v>
      </c>
      <c r="GY97">
        <v>88</v>
      </c>
      <c r="GZ97">
        <v>85</v>
      </c>
      <c r="HA97">
        <v>1148</v>
      </c>
      <c r="HB97">
        <v>1443</v>
      </c>
      <c r="HC97">
        <v>1387</v>
      </c>
      <c r="HD97">
        <v>1216</v>
      </c>
      <c r="HE97">
        <v>937</v>
      </c>
      <c r="HF97">
        <v>899</v>
      </c>
      <c r="HG97">
        <v>791</v>
      </c>
      <c r="HH97">
        <v>736</v>
      </c>
      <c r="HI97">
        <v>688</v>
      </c>
      <c r="HJ97">
        <v>522</v>
      </c>
      <c r="HK97">
        <v>453</v>
      </c>
      <c r="HL97">
        <v>378</v>
      </c>
      <c r="HM97">
        <v>286</v>
      </c>
      <c r="HN97">
        <v>237</v>
      </c>
      <c r="HO97">
        <v>190</v>
      </c>
      <c r="HP97">
        <v>138</v>
      </c>
      <c r="HQ97">
        <v>62</v>
      </c>
      <c r="HR97">
        <v>103</v>
      </c>
      <c r="HS97">
        <v>4978</v>
      </c>
      <c r="HT97">
        <v>0</v>
      </c>
      <c r="HU97">
        <v>0</v>
      </c>
      <c r="HV97">
        <v>0</v>
      </c>
      <c r="HW97">
        <v>8</v>
      </c>
      <c r="HX97">
        <v>0</v>
      </c>
      <c r="HY97">
        <v>0</v>
      </c>
      <c r="HZ97">
        <v>0</v>
      </c>
      <c r="IA97">
        <v>216</v>
      </c>
      <c r="IB97">
        <v>478</v>
      </c>
      <c r="IC97">
        <v>735</v>
      </c>
      <c r="ID97">
        <v>1007</v>
      </c>
      <c r="IE97">
        <v>911</v>
      </c>
      <c r="IF97">
        <v>669</v>
      </c>
      <c r="IG97">
        <v>461</v>
      </c>
      <c r="IH97">
        <v>329</v>
      </c>
      <c r="II97">
        <v>392</v>
      </c>
      <c r="IJ97">
        <v>211</v>
      </c>
      <c r="IK97">
        <v>1364</v>
      </c>
      <c r="IL97">
        <v>1786</v>
      </c>
      <c r="IM97">
        <v>1017</v>
      </c>
      <c r="IN97">
        <v>512</v>
      </c>
      <c r="IO97">
        <v>205</v>
      </c>
      <c r="IP97">
        <v>59</v>
      </c>
      <c r="IQ97">
        <v>36</v>
      </c>
      <c r="IR97">
        <v>8</v>
      </c>
      <c r="IS97">
        <v>1881</v>
      </c>
      <c r="IT97">
        <v>2132</v>
      </c>
      <c r="IU97">
        <v>826</v>
      </c>
      <c r="IV97">
        <v>288</v>
      </c>
      <c r="IW97">
        <v>71</v>
      </c>
      <c r="IX97">
        <v>2115</v>
      </c>
      <c r="IY97">
        <v>751</v>
      </c>
      <c r="IZ97">
        <v>2</v>
      </c>
      <c r="JA97">
        <v>39</v>
      </c>
      <c r="JB97">
        <v>0</v>
      </c>
      <c r="JC97">
        <v>178</v>
      </c>
      <c r="JD97">
        <v>4980</v>
      </c>
      <c r="JE97">
        <v>218</v>
      </c>
      <c r="JF97">
        <v>0</v>
      </c>
      <c r="JH97" s="28">
        <v>6423.2368990140822</v>
      </c>
      <c r="JI97" s="28">
        <v>267.55382067032753</v>
      </c>
      <c r="JJ97">
        <v>733</v>
      </c>
      <c r="JK97">
        <v>4133</v>
      </c>
      <c r="JL97">
        <v>332</v>
      </c>
      <c r="JM97">
        <v>0</v>
      </c>
      <c r="JN97">
        <v>2733</v>
      </c>
      <c r="JO97">
        <v>1916</v>
      </c>
      <c r="JP97">
        <v>901</v>
      </c>
      <c r="JQ97">
        <v>3385</v>
      </c>
      <c r="JR97">
        <v>3773</v>
      </c>
      <c r="JS97">
        <v>243</v>
      </c>
      <c r="JT97">
        <v>303</v>
      </c>
      <c r="JU97">
        <v>3692</v>
      </c>
      <c r="JV97">
        <v>325</v>
      </c>
      <c r="JW97" s="28"/>
      <c r="JX97" s="28"/>
      <c r="JY97" s="28"/>
      <c r="JZ97" s="28"/>
      <c r="KA97" s="28">
        <v>5101.0000180400002</v>
      </c>
      <c r="KB97">
        <v>24899</v>
      </c>
      <c r="KC97">
        <v>0</v>
      </c>
      <c r="KD97">
        <v>0</v>
      </c>
      <c r="KE97">
        <v>0</v>
      </c>
      <c r="KF97">
        <v>31</v>
      </c>
      <c r="KG97">
        <v>0</v>
      </c>
      <c r="KH97">
        <v>0</v>
      </c>
      <c r="KI97">
        <v>0</v>
      </c>
      <c r="KJ97">
        <v>3722</v>
      </c>
      <c r="KK97">
        <v>20677</v>
      </c>
      <c r="KL97">
        <v>1490</v>
      </c>
      <c r="KM97">
        <v>0</v>
      </c>
      <c r="KT97">
        <v>4175</v>
      </c>
      <c r="KU97">
        <v>3990</v>
      </c>
      <c r="KV97">
        <v>3614</v>
      </c>
      <c r="KW97">
        <v>409</v>
      </c>
      <c r="KX97">
        <v>64</v>
      </c>
      <c r="KZ97">
        <v>3425</v>
      </c>
      <c r="LA97">
        <v>389</v>
      </c>
      <c r="LB97">
        <v>74</v>
      </c>
      <c r="LD97">
        <v>2332</v>
      </c>
      <c r="LE97">
        <v>2196</v>
      </c>
      <c r="LF97">
        <v>953</v>
      </c>
      <c r="LG97">
        <v>1528</v>
      </c>
      <c r="LH97">
        <v>16480</v>
      </c>
      <c r="LI97">
        <v>26</v>
      </c>
      <c r="LJ97">
        <v>1572</v>
      </c>
      <c r="LK97">
        <v>254</v>
      </c>
      <c r="LL97">
        <v>2019</v>
      </c>
      <c r="LM97">
        <v>3</v>
      </c>
      <c r="LN97">
        <v>949</v>
      </c>
      <c r="LO97">
        <v>267</v>
      </c>
      <c r="LP97">
        <v>25</v>
      </c>
      <c r="LQ97">
        <v>1476</v>
      </c>
      <c r="LR97">
        <v>250</v>
      </c>
      <c r="LS97">
        <v>2074</v>
      </c>
      <c r="LT97">
        <v>2</v>
      </c>
      <c r="LU97">
        <v>862</v>
      </c>
      <c r="LV97">
        <v>221</v>
      </c>
      <c r="LW97" s="44"/>
      <c r="LX97" s="44"/>
      <c r="LY97" s="44"/>
      <c r="LZ97">
        <v>5198</v>
      </c>
      <c r="MA97">
        <v>25889</v>
      </c>
      <c r="MB97">
        <v>35192</v>
      </c>
      <c r="MC97">
        <v>96</v>
      </c>
      <c r="MD97" s="26">
        <v>15.054611999999999</v>
      </c>
      <c r="ME97" s="26">
        <v>5.4856739999999995</v>
      </c>
      <c r="MF97" s="26">
        <v>54.332523999999999</v>
      </c>
      <c r="MG97" s="26">
        <v>11.15395</v>
      </c>
      <c r="MH97" s="26">
        <v>14.101578</v>
      </c>
      <c r="MI97" s="26">
        <v>1.6160059999999998</v>
      </c>
      <c r="MJ97" s="26">
        <v>5.8291649999999997</v>
      </c>
      <c r="MK97" s="26">
        <v>4.1939209999999996</v>
      </c>
      <c r="ML97" s="26">
        <v>1.8661019999999999</v>
      </c>
      <c r="MM97" s="26">
        <v>63.139668999999998</v>
      </c>
      <c r="MN97" s="26">
        <v>47.422084999999996</v>
      </c>
      <c r="MO97" s="26">
        <v>0.55540699999999998</v>
      </c>
      <c r="MP97" t="s">
        <v>1029</v>
      </c>
      <c r="MQ97">
        <v>577</v>
      </c>
      <c r="MR97">
        <v>56</v>
      </c>
    </row>
    <row r="98" spans="1:356">
      <c r="A98" t="s">
        <v>199</v>
      </c>
      <c r="B98" t="s">
        <v>200</v>
      </c>
      <c r="C98">
        <v>31615</v>
      </c>
      <c r="D98">
        <v>40297</v>
      </c>
      <c r="E98">
        <v>52935</v>
      </c>
      <c r="F98">
        <f t="shared" si="4"/>
        <v>12638</v>
      </c>
      <c r="G98" s="26">
        <f t="shared" si="5"/>
        <v>31.362136139166694</v>
      </c>
      <c r="H98">
        <v>25888</v>
      </c>
      <c r="I98">
        <v>27047</v>
      </c>
      <c r="J98">
        <v>20613</v>
      </c>
      <c r="K98">
        <v>32322</v>
      </c>
      <c r="L98">
        <v>3631</v>
      </c>
      <c r="M98">
        <v>3775</v>
      </c>
      <c r="N98">
        <v>3380</v>
      </c>
      <c r="O98">
        <v>2761</v>
      </c>
      <c r="P98">
        <v>2235</v>
      </c>
      <c r="Q98">
        <v>1975</v>
      </c>
      <c r="R98">
        <v>1732</v>
      </c>
      <c r="S98">
        <v>1483</v>
      </c>
      <c r="T98">
        <v>1177</v>
      </c>
      <c r="U98">
        <v>952</v>
      </c>
      <c r="V98">
        <v>714</v>
      </c>
      <c r="W98">
        <v>560</v>
      </c>
      <c r="X98">
        <v>472</v>
      </c>
      <c r="Y98">
        <v>1020</v>
      </c>
      <c r="Z98">
        <v>21</v>
      </c>
      <c r="AA98">
        <v>3894</v>
      </c>
      <c r="AB98">
        <v>3635</v>
      </c>
      <c r="AC98">
        <v>3346</v>
      </c>
      <c r="AD98">
        <v>2857</v>
      </c>
      <c r="AE98">
        <v>2576</v>
      </c>
      <c r="AF98">
        <v>2177</v>
      </c>
      <c r="AG98">
        <v>1880</v>
      </c>
      <c r="AH98">
        <v>1589</v>
      </c>
      <c r="AI98">
        <v>1217</v>
      </c>
      <c r="AJ98">
        <v>1002</v>
      </c>
      <c r="AK98">
        <v>739</v>
      </c>
      <c r="AL98">
        <v>641</v>
      </c>
      <c r="AM98">
        <v>462</v>
      </c>
      <c r="AN98">
        <v>1009</v>
      </c>
      <c r="AO98">
        <v>23</v>
      </c>
      <c r="AP98">
        <v>52715</v>
      </c>
      <c r="AQ98">
        <v>133</v>
      </c>
      <c r="AR98">
        <v>5</v>
      </c>
      <c r="AS98">
        <v>1</v>
      </c>
      <c r="AT98">
        <v>81</v>
      </c>
      <c r="AU98">
        <v>35497</v>
      </c>
      <c r="AV98">
        <v>17453</v>
      </c>
      <c r="AW98">
        <v>18044</v>
      </c>
      <c r="AX98">
        <v>15367</v>
      </c>
      <c r="AY98">
        <v>26731</v>
      </c>
      <c r="AZ98">
        <v>22934</v>
      </c>
      <c r="BA98">
        <v>3797</v>
      </c>
      <c r="BB98">
        <v>1045</v>
      </c>
      <c r="BC98">
        <v>1011</v>
      </c>
      <c r="BD98">
        <v>2548</v>
      </c>
      <c r="BE98">
        <v>2578</v>
      </c>
      <c r="BF98">
        <v>2412</v>
      </c>
      <c r="BG98">
        <v>2335</v>
      </c>
      <c r="BH98">
        <v>1963</v>
      </c>
      <c r="BI98">
        <v>2055</v>
      </c>
      <c r="BJ98">
        <v>1687</v>
      </c>
      <c r="BK98">
        <v>1927</v>
      </c>
      <c r="BL98">
        <v>1522</v>
      </c>
      <c r="BM98">
        <v>1651</v>
      </c>
      <c r="BN98">
        <v>1338</v>
      </c>
      <c r="BO98">
        <v>1415</v>
      </c>
      <c r="BP98">
        <v>1138</v>
      </c>
      <c r="BQ98">
        <v>1208</v>
      </c>
      <c r="BR98">
        <v>921</v>
      </c>
      <c r="BS98">
        <v>913</v>
      </c>
      <c r="BT98">
        <v>755</v>
      </c>
      <c r="BU98">
        <v>780</v>
      </c>
      <c r="BV98">
        <v>546</v>
      </c>
      <c r="BW98">
        <v>575</v>
      </c>
      <c r="BX98">
        <v>430</v>
      </c>
      <c r="BY98">
        <v>487</v>
      </c>
      <c r="BZ98">
        <v>361</v>
      </c>
      <c r="CA98">
        <v>345</v>
      </c>
      <c r="CB98">
        <v>787</v>
      </c>
      <c r="CC98">
        <v>764</v>
      </c>
      <c r="CD98">
        <v>11433</v>
      </c>
      <c r="CE98">
        <v>9038</v>
      </c>
      <c r="CF98">
        <v>5534</v>
      </c>
      <c r="CG98">
        <v>8233</v>
      </c>
      <c r="CH98">
        <v>8936</v>
      </c>
      <c r="CI98">
        <v>1779</v>
      </c>
      <c r="CJ98">
        <v>45956</v>
      </c>
      <c r="CK98">
        <v>6875</v>
      </c>
      <c r="CL98">
        <v>552</v>
      </c>
      <c r="CM98">
        <v>1166</v>
      </c>
      <c r="CN98">
        <v>1683</v>
      </c>
      <c r="CO98">
        <v>1883</v>
      </c>
      <c r="CP98">
        <v>1640</v>
      </c>
      <c r="CQ98">
        <v>3791</v>
      </c>
      <c r="CR98">
        <v>8681</v>
      </c>
      <c r="CS98">
        <v>28117</v>
      </c>
      <c r="CT98">
        <v>2642</v>
      </c>
      <c r="CU98">
        <v>1132</v>
      </c>
      <c r="CV98">
        <v>425</v>
      </c>
      <c r="CW98">
        <v>977</v>
      </c>
      <c r="CX98">
        <v>99</v>
      </c>
      <c r="CY98">
        <v>7872</v>
      </c>
      <c r="CZ98">
        <v>2215</v>
      </c>
      <c r="DA98">
        <v>54</v>
      </c>
      <c r="DB98">
        <v>552</v>
      </c>
      <c r="DC98">
        <v>12</v>
      </c>
      <c r="DD98">
        <v>1778</v>
      </c>
      <c r="DE98">
        <v>4701</v>
      </c>
      <c r="DF98">
        <v>8820</v>
      </c>
      <c r="DG98">
        <v>17023</v>
      </c>
      <c r="DH98">
        <v>5995</v>
      </c>
      <c r="DI98">
        <v>0</v>
      </c>
      <c r="DJ98">
        <v>14618</v>
      </c>
      <c r="DK98">
        <v>0</v>
      </c>
      <c r="DL98">
        <v>0</v>
      </c>
      <c r="DM98">
        <v>47</v>
      </c>
      <c r="DN98">
        <v>27</v>
      </c>
      <c r="DO98">
        <v>24</v>
      </c>
      <c r="DP98">
        <v>18</v>
      </c>
      <c r="DQ98">
        <v>2</v>
      </c>
      <c r="DR98">
        <v>0</v>
      </c>
      <c r="DS98">
        <v>1</v>
      </c>
      <c r="DT98">
        <v>0</v>
      </c>
      <c r="DU98">
        <v>0</v>
      </c>
      <c r="DV98">
        <v>644</v>
      </c>
      <c r="DW98">
        <v>745</v>
      </c>
      <c r="DX98">
        <v>843</v>
      </c>
      <c r="DY98">
        <v>904</v>
      </c>
      <c r="DZ98">
        <v>553</v>
      </c>
      <c r="EA98">
        <v>513</v>
      </c>
      <c r="EB98">
        <v>280</v>
      </c>
      <c r="EC98">
        <v>274</v>
      </c>
      <c r="ED98">
        <v>202</v>
      </c>
      <c r="EE98">
        <v>223</v>
      </c>
      <c r="EF98">
        <v>309</v>
      </c>
      <c r="EG98">
        <v>368</v>
      </c>
      <c r="EH98">
        <v>217</v>
      </c>
      <c r="EI98">
        <v>204</v>
      </c>
      <c r="EJ98">
        <v>1020</v>
      </c>
      <c r="EK98">
        <v>1310</v>
      </c>
      <c r="EL98">
        <v>761</v>
      </c>
      <c r="EM98">
        <v>360</v>
      </c>
      <c r="EN98">
        <v>273</v>
      </c>
      <c r="EO98">
        <v>468</v>
      </c>
      <c r="EP98">
        <v>305</v>
      </c>
      <c r="EQ98">
        <v>14700</v>
      </c>
      <c r="ER98">
        <v>14507</v>
      </c>
      <c r="ES98">
        <v>193</v>
      </c>
      <c r="ET98">
        <v>2310</v>
      </c>
      <c r="EU98">
        <v>6272</v>
      </c>
      <c r="EV98">
        <v>6239</v>
      </c>
      <c r="EW98">
        <v>33</v>
      </c>
      <c r="EX98">
        <v>11753</v>
      </c>
      <c r="EY98" s="26">
        <v>62.016978000000002</v>
      </c>
      <c r="EZ98" s="26">
        <v>13.181664</v>
      </c>
      <c r="FA98" s="26">
        <v>8.5500849999999993</v>
      </c>
      <c r="FB98" s="26">
        <v>15.327674</v>
      </c>
      <c r="FC98" s="26">
        <v>0.92359899999999995</v>
      </c>
      <c r="FD98">
        <v>3771</v>
      </c>
      <c r="FE98">
        <v>8111</v>
      </c>
      <c r="FF98">
        <v>1218</v>
      </c>
      <c r="FG98">
        <v>4000</v>
      </c>
      <c r="FH98">
        <v>5</v>
      </c>
      <c r="FI98">
        <v>2861</v>
      </c>
      <c r="FJ98">
        <v>994</v>
      </c>
      <c r="FK98" s="26" t="s">
        <v>359</v>
      </c>
      <c r="FL98" s="26" t="s">
        <v>359</v>
      </c>
      <c r="FM98" s="26" t="s">
        <v>359</v>
      </c>
      <c r="FN98" s="26" t="s">
        <v>359</v>
      </c>
      <c r="FO98" s="28">
        <v>18145</v>
      </c>
      <c r="FP98" s="28">
        <v>7717</v>
      </c>
      <c r="FQ98">
        <v>458</v>
      </c>
      <c r="FR98">
        <v>293</v>
      </c>
      <c r="FS98">
        <v>65</v>
      </c>
      <c r="FT98">
        <v>13</v>
      </c>
      <c r="FU98">
        <v>16918</v>
      </c>
      <c r="FV98">
        <v>8</v>
      </c>
      <c r="FW98">
        <v>54</v>
      </c>
      <c r="FX98">
        <v>26</v>
      </c>
      <c r="FY98">
        <v>19709</v>
      </c>
      <c r="FZ98">
        <v>7305</v>
      </c>
      <c r="GA98">
        <v>436</v>
      </c>
      <c r="GB98">
        <v>334</v>
      </c>
      <c r="GC98">
        <v>84</v>
      </c>
      <c r="GD98">
        <v>10</v>
      </c>
      <c r="GE98">
        <v>18447</v>
      </c>
      <c r="GF98">
        <v>5</v>
      </c>
      <c r="GG98">
        <v>56</v>
      </c>
      <c r="GH98">
        <v>33</v>
      </c>
      <c r="GI98">
        <v>2032</v>
      </c>
      <c r="GJ98">
        <v>2862</v>
      </c>
      <c r="GK98">
        <v>2641</v>
      </c>
      <c r="GL98">
        <v>1985</v>
      </c>
      <c r="GM98">
        <v>1341</v>
      </c>
      <c r="GN98">
        <v>1306</v>
      </c>
      <c r="GO98">
        <v>1238</v>
      </c>
      <c r="GP98">
        <v>1119</v>
      </c>
      <c r="GQ98">
        <v>900</v>
      </c>
      <c r="GR98">
        <v>703</v>
      </c>
      <c r="GS98">
        <v>526</v>
      </c>
      <c r="GT98">
        <v>405</v>
      </c>
      <c r="GU98">
        <v>321</v>
      </c>
      <c r="GV98">
        <v>272</v>
      </c>
      <c r="GW98">
        <v>198</v>
      </c>
      <c r="GX98">
        <v>126</v>
      </c>
      <c r="GY98">
        <v>94</v>
      </c>
      <c r="GZ98">
        <v>76</v>
      </c>
      <c r="HA98">
        <v>2136</v>
      </c>
      <c r="HB98">
        <v>2778</v>
      </c>
      <c r="HC98">
        <v>2569</v>
      </c>
      <c r="HD98">
        <v>1927</v>
      </c>
      <c r="HE98">
        <v>1743</v>
      </c>
      <c r="HF98">
        <v>1654</v>
      </c>
      <c r="HG98">
        <v>1519</v>
      </c>
      <c r="HH98">
        <v>1304</v>
      </c>
      <c r="HI98">
        <v>1012</v>
      </c>
      <c r="HJ98">
        <v>816</v>
      </c>
      <c r="HK98">
        <v>571</v>
      </c>
      <c r="HL98">
        <v>521</v>
      </c>
      <c r="HM98">
        <v>366</v>
      </c>
      <c r="HN98">
        <v>300</v>
      </c>
      <c r="HO98">
        <v>216</v>
      </c>
      <c r="HP98">
        <v>115</v>
      </c>
      <c r="HQ98">
        <v>80</v>
      </c>
      <c r="HR98">
        <v>82</v>
      </c>
      <c r="HS98">
        <v>9318</v>
      </c>
      <c r="HT98">
        <v>1</v>
      </c>
      <c r="HU98">
        <v>53</v>
      </c>
      <c r="HV98">
        <v>0</v>
      </c>
      <c r="HW98">
        <v>18</v>
      </c>
      <c r="HX98">
        <v>0</v>
      </c>
      <c r="HY98">
        <v>1</v>
      </c>
      <c r="HZ98">
        <v>0</v>
      </c>
      <c r="IA98">
        <v>548</v>
      </c>
      <c r="IB98">
        <v>1163</v>
      </c>
      <c r="IC98">
        <v>1678</v>
      </c>
      <c r="ID98">
        <v>1880</v>
      </c>
      <c r="IE98">
        <v>1638</v>
      </c>
      <c r="IF98">
        <v>1260</v>
      </c>
      <c r="IG98">
        <v>924</v>
      </c>
      <c r="IH98">
        <v>635</v>
      </c>
      <c r="II98">
        <v>970</v>
      </c>
      <c r="IJ98">
        <v>1780</v>
      </c>
      <c r="IK98">
        <v>4274</v>
      </c>
      <c r="IL98">
        <v>2617</v>
      </c>
      <c r="IM98">
        <v>1283</v>
      </c>
      <c r="IN98">
        <v>488</v>
      </c>
      <c r="IO98">
        <v>161</v>
      </c>
      <c r="IP98">
        <v>53</v>
      </c>
      <c r="IQ98">
        <v>21</v>
      </c>
      <c r="IR98">
        <v>17</v>
      </c>
      <c r="IS98">
        <v>6703</v>
      </c>
      <c r="IT98">
        <v>2971</v>
      </c>
      <c r="IU98">
        <v>730</v>
      </c>
      <c r="IV98">
        <v>227</v>
      </c>
      <c r="IW98">
        <v>63</v>
      </c>
      <c r="IX98">
        <v>2161</v>
      </c>
      <c r="IY98">
        <v>3897</v>
      </c>
      <c r="IZ98">
        <v>28</v>
      </c>
      <c r="JA98">
        <v>95</v>
      </c>
      <c r="JB98">
        <v>34</v>
      </c>
      <c r="JC98">
        <v>843</v>
      </c>
      <c r="JD98">
        <v>8727</v>
      </c>
      <c r="JE98">
        <v>1967</v>
      </c>
      <c r="JF98">
        <v>2</v>
      </c>
      <c r="JH98" s="28">
        <v>7169.5373212287786</v>
      </c>
      <c r="JI98" s="28">
        <v>137.55463527815348</v>
      </c>
      <c r="JJ98">
        <v>2017</v>
      </c>
      <c r="JK98">
        <v>8258</v>
      </c>
      <c r="JL98">
        <v>419</v>
      </c>
      <c r="JM98">
        <v>2</v>
      </c>
      <c r="JN98">
        <v>3598</v>
      </c>
      <c r="JO98">
        <v>1154</v>
      </c>
      <c r="JP98">
        <v>651</v>
      </c>
      <c r="JQ98">
        <v>3791</v>
      </c>
      <c r="JR98">
        <v>6021</v>
      </c>
      <c r="JS98">
        <v>504</v>
      </c>
      <c r="JT98">
        <v>322</v>
      </c>
      <c r="JU98">
        <v>5288</v>
      </c>
      <c r="JV98">
        <v>449</v>
      </c>
      <c r="JW98" s="28"/>
      <c r="JX98" s="28"/>
      <c r="JY98" s="28"/>
      <c r="JZ98" s="28"/>
      <c r="KA98" s="28">
        <v>10581.999999760001</v>
      </c>
      <c r="KB98">
        <v>46826</v>
      </c>
      <c r="KC98">
        <v>2</v>
      </c>
      <c r="KD98">
        <v>136</v>
      </c>
      <c r="KE98">
        <v>0</v>
      </c>
      <c r="KF98">
        <v>57</v>
      </c>
      <c r="KG98">
        <v>0</v>
      </c>
      <c r="KH98">
        <v>3</v>
      </c>
      <c r="KI98">
        <v>0</v>
      </c>
      <c r="KJ98">
        <v>10649</v>
      </c>
      <c r="KK98">
        <v>40367</v>
      </c>
      <c r="KL98">
        <v>1744</v>
      </c>
      <c r="KM98">
        <v>11</v>
      </c>
      <c r="KT98">
        <v>7935</v>
      </c>
      <c r="KU98">
        <v>7637</v>
      </c>
      <c r="KV98">
        <v>6956</v>
      </c>
      <c r="KW98">
        <v>506</v>
      </c>
      <c r="KX98">
        <v>72</v>
      </c>
      <c r="KZ98">
        <v>6685</v>
      </c>
      <c r="LA98">
        <v>457</v>
      </c>
      <c r="LB98">
        <v>75</v>
      </c>
      <c r="LD98">
        <v>4186</v>
      </c>
      <c r="LE98">
        <v>4216</v>
      </c>
      <c r="LF98">
        <v>2910</v>
      </c>
      <c r="LG98">
        <v>4772</v>
      </c>
      <c r="LH98">
        <v>31230</v>
      </c>
      <c r="LI98">
        <v>46</v>
      </c>
      <c r="LJ98">
        <v>3446</v>
      </c>
      <c r="LK98">
        <v>798</v>
      </c>
      <c r="LL98">
        <v>3089</v>
      </c>
      <c r="LM98">
        <v>3</v>
      </c>
      <c r="LN98">
        <v>1678</v>
      </c>
      <c r="LO98">
        <v>390</v>
      </c>
      <c r="LP98">
        <v>56</v>
      </c>
      <c r="LQ98">
        <v>3655</v>
      </c>
      <c r="LR98">
        <v>658</v>
      </c>
      <c r="LS98">
        <v>3174</v>
      </c>
      <c r="LT98">
        <v>4</v>
      </c>
      <c r="LU98">
        <v>1383</v>
      </c>
      <c r="LV98">
        <v>289</v>
      </c>
      <c r="LW98" s="44"/>
      <c r="LX98" s="44"/>
      <c r="LY98" s="44"/>
      <c r="LZ98">
        <v>10696</v>
      </c>
      <c r="MA98">
        <v>52771</v>
      </c>
      <c r="MB98">
        <v>44295</v>
      </c>
      <c r="MC98">
        <v>30897</v>
      </c>
      <c r="MD98" s="26">
        <v>24.598143</v>
      </c>
      <c r="ME98" s="26">
        <v>16.165621999999999</v>
      </c>
      <c r="MF98" s="26">
        <v>62.82741</v>
      </c>
      <c r="MG98" s="26">
        <v>28.3782</v>
      </c>
      <c r="MH98" s="26">
        <v>18.857516999999998</v>
      </c>
      <c r="MI98" s="26">
        <v>2.4682119999999999</v>
      </c>
      <c r="MJ98" s="26">
        <v>7.2456990000000001</v>
      </c>
      <c r="MK98" s="26">
        <v>18.390052000000001</v>
      </c>
      <c r="ML98" s="26">
        <v>1.0658189999999998</v>
      </c>
      <c r="MM98" s="26">
        <v>89.210920000000002</v>
      </c>
      <c r="MN98" s="26">
        <v>66.361256999999995</v>
      </c>
      <c r="MO98" s="26">
        <v>1.5074369999999999</v>
      </c>
      <c r="MP98" t="s">
        <v>1028</v>
      </c>
      <c r="MQ98">
        <v>218</v>
      </c>
      <c r="MR98">
        <v>25</v>
      </c>
    </row>
    <row r="99" spans="1:356">
      <c r="A99" t="s">
        <v>201</v>
      </c>
      <c r="B99" t="s">
        <v>202</v>
      </c>
      <c r="C99">
        <v>7987</v>
      </c>
      <c r="D99">
        <v>12269</v>
      </c>
      <c r="E99">
        <v>15518</v>
      </c>
      <c r="F99">
        <f t="shared" ref="F99:F127" si="6">E99-D99</f>
        <v>3249</v>
      </c>
      <c r="G99" s="26">
        <f t="shared" ref="G99:G127" si="7">E99/D99*100-100</f>
        <v>26.481375825250637</v>
      </c>
      <c r="H99">
        <v>7624</v>
      </c>
      <c r="I99">
        <v>7894</v>
      </c>
      <c r="J99">
        <v>0</v>
      </c>
      <c r="K99">
        <v>15518</v>
      </c>
      <c r="L99">
        <v>954</v>
      </c>
      <c r="M99">
        <v>1209</v>
      </c>
      <c r="N99">
        <v>1085</v>
      </c>
      <c r="O99">
        <v>854</v>
      </c>
      <c r="P99">
        <v>614</v>
      </c>
      <c r="Q99">
        <v>520</v>
      </c>
      <c r="R99">
        <v>502</v>
      </c>
      <c r="S99">
        <v>462</v>
      </c>
      <c r="T99">
        <v>304</v>
      </c>
      <c r="U99">
        <v>331</v>
      </c>
      <c r="V99">
        <v>233</v>
      </c>
      <c r="W99">
        <v>152</v>
      </c>
      <c r="X99">
        <v>141</v>
      </c>
      <c r="Y99">
        <v>263</v>
      </c>
      <c r="Z99">
        <v>0</v>
      </c>
      <c r="AA99">
        <v>1000</v>
      </c>
      <c r="AB99">
        <v>1128</v>
      </c>
      <c r="AC99">
        <v>1098</v>
      </c>
      <c r="AD99">
        <v>857</v>
      </c>
      <c r="AE99">
        <v>745</v>
      </c>
      <c r="AF99">
        <v>634</v>
      </c>
      <c r="AG99">
        <v>510</v>
      </c>
      <c r="AH99">
        <v>457</v>
      </c>
      <c r="AI99">
        <v>383</v>
      </c>
      <c r="AJ99">
        <v>283</v>
      </c>
      <c r="AK99">
        <v>219</v>
      </c>
      <c r="AL99">
        <v>180</v>
      </c>
      <c r="AM99">
        <v>129</v>
      </c>
      <c r="AN99">
        <v>271</v>
      </c>
      <c r="AO99">
        <v>0</v>
      </c>
      <c r="AP99">
        <v>15504</v>
      </c>
      <c r="AQ99">
        <v>7</v>
      </c>
      <c r="AR99">
        <v>1</v>
      </c>
      <c r="AS99">
        <v>0</v>
      </c>
      <c r="AT99">
        <v>6</v>
      </c>
      <c r="AU99">
        <v>13559</v>
      </c>
      <c r="AV99">
        <v>6673</v>
      </c>
      <c r="AW99">
        <v>6886</v>
      </c>
      <c r="AX99">
        <v>3576</v>
      </c>
      <c r="AY99">
        <v>10588</v>
      </c>
      <c r="AZ99">
        <v>10588</v>
      </c>
      <c r="BA99">
        <v>0</v>
      </c>
      <c r="BB99">
        <v>358</v>
      </c>
      <c r="BC99">
        <v>392</v>
      </c>
      <c r="BD99">
        <v>1137</v>
      </c>
      <c r="BE99">
        <v>1062</v>
      </c>
      <c r="BF99">
        <v>1022</v>
      </c>
      <c r="BG99">
        <v>1034</v>
      </c>
      <c r="BH99">
        <v>797</v>
      </c>
      <c r="BI99">
        <v>809</v>
      </c>
      <c r="BJ99">
        <v>588</v>
      </c>
      <c r="BK99">
        <v>718</v>
      </c>
      <c r="BL99">
        <v>492</v>
      </c>
      <c r="BM99">
        <v>594</v>
      </c>
      <c r="BN99">
        <v>478</v>
      </c>
      <c r="BO99">
        <v>478</v>
      </c>
      <c r="BP99">
        <v>437</v>
      </c>
      <c r="BQ99">
        <v>427</v>
      </c>
      <c r="BR99">
        <v>286</v>
      </c>
      <c r="BS99">
        <v>353</v>
      </c>
      <c r="BT99">
        <v>308</v>
      </c>
      <c r="BU99">
        <v>262</v>
      </c>
      <c r="BV99">
        <v>228</v>
      </c>
      <c r="BW99">
        <v>206</v>
      </c>
      <c r="BX99">
        <v>147</v>
      </c>
      <c r="BY99">
        <v>174</v>
      </c>
      <c r="BZ99">
        <v>135</v>
      </c>
      <c r="CA99">
        <v>120</v>
      </c>
      <c r="CB99">
        <v>260</v>
      </c>
      <c r="CC99">
        <v>257</v>
      </c>
      <c r="CD99">
        <v>3287</v>
      </c>
      <c r="CE99">
        <v>2287</v>
      </c>
      <c r="CF99">
        <v>3070</v>
      </c>
      <c r="CG99">
        <v>4258</v>
      </c>
      <c r="CH99">
        <v>2694</v>
      </c>
      <c r="CI99">
        <v>527</v>
      </c>
      <c r="CJ99">
        <v>13303</v>
      </c>
      <c r="CK99">
        <v>2109</v>
      </c>
      <c r="CL99">
        <v>120</v>
      </c>
      <c r="CM99">
        <v>389</v>
      </c>
      <c r="CN99">
        <v>550</v>
      </c>
      <c r="CO99">
        <v>576</v>
      </c>
      <c r="CP99">
        <v>490</v>
      </c>
      <c r="CQ99">
        <v>1096</v>
      </c>
      <c r="CR99">
        <v>2702</v>
      </c>
      <c r="CS99">
        <v>8529</v>
      </c>
      <c r="CT99">
        <v>413</v>
      </c>
      <c r="CU99">
        <v>252</v>
      </c>
      <c r="CV99">
        <v>77</v>
      </c>
      <c r="CW99">
        <v>206</v>
      </c>
      <c r="CX99">
        <v>12</v>
      </c>
      <c r="CY99">
        <v>2616</v>
      </c>
      <c r="CZ99">
        <v>474</v>
      </c>
      <c r="DA99">
        <v>10</v>
      </c>
      <c r="DB99">
        <v>120</v>
      </c>
      <c r="DC99">
        <v>1</v>
      </c>
      <c r="DD99">
        <v>3087</v>
      </c>
      <c r="DE99">
        <v>2868</v>
      </c>
      <c r="DF99">
        <v>2304</v>
      </c>
      <c r="DG99">
        <v>7259</v>
      </c>
      <c r="DH99">
        <v>0</v>
      </c>
      <c r="DI99">
        <v>0</v>
      </c>
      <c r="DJ99">
        <v>0</v>
      </c>
      <c r="DK99">
        <v>0</v>
      </c>
      <c r="DL99">
        <v>0</v>
      </c>
      <c r="DM99">
        <v>86</v>
      </c>
      <c r="DN99">
        <v>20</v>
      </c>
      <c r="DO99">
        <v>7</v>
      </c>
      <c r="DP99">
        <v>7</v>
      </c>
      <c r="DQ99">
        <v>0</v>
      </c>
      <c r="DR99">
        <v>0</v>
      </c>
      <c r="DS99">
        <v>0</v>
      </c>
      <c r="DT99">
        <v>0</v>
      </c>
      <c r="DU99">
        <v>0</v>
      </c>
      <c r="DV99">
        <v>155</v>
      </c>
      <c r="DW99">
        <v>178</v>
      </c>
      <c r="DX99">
        <v>190</v>
      </c>
      <c r="DY99">
        <v>223</v>
      </c>
      <c r="DZ99">
        <v>114</v>
      </c>
      <c r="EA99">
        <v>114</v>
      </c>
      <c r="EB99">
        <v>55</v>
      </c>
      <c r="EC99">
        <v>41</v>
      </c>
      <c r="ED99">
        <v>56</v>
      </c>
      <c r="EE99">
        <v>48</v>
      </c>
      <c r="EF99">
        <v>57</v>
      </c>
      <c r="EG99">
        <v>56</v>
      </c>
      <c r="EH99">
        <v>14</v>
      </c>
      <c r="EI99">
        <v>14</v>
      </c>
      <c r="EJ99">
        <v>238</v>
      </c>
      <c r="EK99">
        <v>322</v>
      </c>
      <c r="EL99">
        <v>160</v>
      </c>
      <c r="EM99">
        <v>55</v>
      </c>
      <c r="EN99">
        <v>66</v>
      </c>
      <c r="EO99">
        <v>75</v>
      </c>
      <c r="EP99">
        <v>21</v>
      </c>
      <c r="EQ99">
        <v>3534</v>
      </c>
      <c r="ER99">
        <v>3222</v>
      </c>
      <c r="ES99">
        <v>312</v>
      </c>
      <c r="ET99">
        <v>1473</v>
      </c>
      <c r="EU99">
        <v>338</v>
      </c>
      <c r="EV99">
        <v>287</v>
      </c>
      <c r="EW99">
        <v>51</v>
      </c>
      <c r="EX99">
        <v>4936</v>
      </c>
      <c r="EY99" s="26">
        <v>85.546315000000007</v>
      </c>
      <c r="EZ99" s="26">
        <v>4.5884710000000002</v>
      </c>
      <c r="FA99" s="26">
        <v>3.3266420000000001</v>
      </c>
      <c r="FB99" s="26">
        <v>6.0797249999999998</v>
      </c>
      <c r="FC99" s="26">
        <v>0.458847</v>
      </c>
      <c r="FD99">
        <v>1144</v>
      </c>
      <c r="FE99">
        <v>1351</v>
      </c>
      <c r="FF99">
        <v>205</v>
      </c>
      <c r="FG99">
        <v>652</v>
      </c>
      <c r="FH99">
        <v>1</v>
      </c>
      <c r="FI99">
        <v>462</v>
      </c>
      <c r="FJ99">
        <v>55</v>
      </c>
      <c r="FK99" s="26" t="s">
        <v>359</v>
      </c>
      <c r="FL99" s="26" t="s">
        <v>359</v>
      </c>
      <c r="FM99" s="26" t="s">
        <v>359</v>
      </c>
      <c r="FN99" s="26" t="s">
        <v>359</v>
      </c>
      <c r="FO99" s="28">
        <v>5508</v>
      </c>
      <c r="FP99" s="28">
        <v>2108</v>
      </c>
      <c r="FQ99">
        <v>357</v>
      </c>
      <c r="FR99">
        <v>23</v>
      </c>
      <c r="FS99">
        <v>1</v>
      </c>
      <c r="FT99">
        <v>2</v>
      </c>
      <c r="FU99">
        <v>5064</v>
      </c>
      <c r="FV99">
        <v>3</v>
      </c>
      <c r="FW99">
        <v>66</v>
      </c>
      <c r="FX99">
        <v>8</v>
      </c>
      <c r="FY99">
        <v>5884</v>
      </c>
      <c r="FZ99">
        <v>2008</v>
      </c>
      <c r="GA99">
        <v>339</v>
      </c>
      <c r="GB99">
        <v>18</v>
      </c>
      <c r="GC99">
        <v>0</v>
      </c>
      <c r="GD99">
        <v>2</v>
      </c>
      <c r="GE99">
        <v>5445</v>
      </c>
      <c r="GF99">
        <v>1</v>
      </c>
      <c r="GG99">
        <v>74</v>
      </c>
      <c r="GH99">
        <v>2</v>
      </c>
      <c r="GI99">
        <v>508</v>
      </c>
      <c r="GJ99">
        <v>872</v>
      </c>
      <c r="GK99">
        <v>844</v>
      </c>
      <c r="GL99">
        <v>635</v>
      </c>
      <c r="GM99">
        <v>422</v>
      </c>
      <c r="GN99">
        <v>377</v>
      </c>
      <c r="GO99">
        <v>393</v>
      </c>
      <c r="GP99">
        <v>363</v>
      </c>
      <c r="GQ99">
        <v>249</v>
      </c>
      <c r="GR99">
        <v>265</v>
      </c>
      <c r="GS99">
        <v>171</v>
      </c>
      <c r="GT99">
        <v>111</v>
      </c>
      <c r="GU99">
        <v>103</v>
      </c>
      <c r="GV99">
        <v>87</v>
      </c>
      <c r="GW99">
        <v>45</v>
      </c>
      <c r="GX99">
        <v>35</v>
      </c>
      <c r="GY99">
        <v>18</v>
      </c>
      <c r="GZ99">
        <v>10</v>
      </c>
      <c r="HA99">
        <v>546</v>
      </c>
      <c r="HB99">
        <v>828</v>
      </c>
      <c r="HC99">
        <v>853</v>
      </c>
      <c r="HD99">
        <v>605</v>
      </c>
      <c r="HE99">
        <v>526</v>
      </c>
      <c r="HF99">
        <v>486</v>
      </c>
      <c r="HG99">
        <v>437</v>
      </c>
      <c r="HH99">
        <v>382</v>
      </c>
      <c r="HI99">
        <v>328</v>
      </c>
      <c r="HJ99">
        <v>241</v>
      </c>
      <c r="HK99">
        <v>177</v>
      </c>
      <c r="HL99">
        <v>148</v>
      </c>
      <c r="HM99">
        <v>106</v>
      </c>
      <c r="HN99">
        <v>100</v>
      </c>
      <c r="HO99">
        <v>55</v>
      </c>
      <c r="HP99">
        <v>41</v>
      </c>
      <c r="HQ99">
        <v>14</v>
      </c>
      <c r="HR99">
        <v>11</v>
      </c>
      <c r="HS99">
        <v>3122</v>
      </c>
      <c r="HT99">
        <v>0</v>
      </c>
      <c r="HU99">
        <v>2</v>
      </c>
      <c r="HV99">
        <v>0</v>
      </c>
      <c r="HW99">
        <v>0</v>
      </c>
      <c r="HX99">
        <v>0</v>
      </c>
      <c r="HY99">
        <v>2</v>
      </c>
      <c r="HZ99">
        <v>2</v>
      </c>
      <c r="IA99">
        <v>119</v>
      </c>
      <c r="IB99">
        <v>389</v>
      </c>
      <c r="IC99">
        <v>550</v>
      </c>
      <c r="ID99">
        <v>576</v>
      </c>
      <c r="IE99">
        <v>490</v>
      </c>
      <c r="IF99">
        <v>413</v>
      </c>
      <c r="IG99">
        <v>273</v>
      </c>
      <c r="IH99">
        <v>186</v>
      </c>
      <c r="II99">
        <v>223</v>
      </c>
      <c r="IJ99">
        <v>240</v>
      </c>
      <c r="IK99">
        <v>1303</v>
      </c>
      <c r="IL99">
        <v>1077</v>
      </c>
      <c r="IM99">
        <v>365</v>
      </c>
      <c r="IN99">
        <v>155</v>
      </c>
      <c r="IO99">
        <v>51</v>
      </c>
      <c r="IP99">
        <v>18</v>
      </c>
      <c r="IQ99">
        <v>4</v>
      </c>
      <c r="IR99">
        <v>6</v>
      </c>
      <c r="IS99">
        <v>1528</v>
      </c>
      <c r="IT99">
        <v>1260</v>
      </c>
      <c r="IU99">
        <v>272</v>
      </c>
      <c r="IV99">
        <v>112</v>
      </c>
      <c r="IW99">
        <v>47</v>
      </c>
      <c r="IX99">
        <v>433</v>
      </c>
      <c r="IY99">
        <v>680</v>
      </c>
      <c r="IZ99">
        <v>11</v>
      </c>
      <c r="JA99">
        <v>11</v>
      </c>
      <c r="JB99">
        <v>1</v>
      </c>
      <c r="JC99">
        <v>145</v>
      </c>
      <c r="JD99">
        <v>1303</v>
      </c>
      <c r="JE99">
        <v>1916</v>
      </c>
      <c r="JF99">
        <v>0</v>
      </c>
      <c r="JH99" s="28">
        <v>962.26505222532421</v>
      </c>
      <c r="JI99" s="28">
        <v>1304.1223734106368</v>
      </c>
      <c r="JJ99">
        <v>1052</v>
      </c>
      <c r="JK99">
        <v>2132</v>
      </c>
      <c r="JL99">
        <v>35</v>
      </c>
      <c r="JM99">
        <v>0</v>
      </c>
      <c r="JN99">
        <v>566</v>
      </c>
      <c r="JO99">
        <v>146</v>
      </c>
      <c r="JP99">
        <v>124</v>
      </c>
      <c r="JQ99">
        <v>811</v>
      </c>
      <c r="JR99">
        <v>1104</v>
      </c>
      <c r="JS99">
        <v>39</v>
      </c>
      <c r="JT99">
        <v>10</v>
      </c>
      <c r="JU99">
        <v>630</v>
      </c>
      <c r="JV99">
        <v>99</v>
      </c>
      <c r="JW99" s="28"/>
      <c r="JX99" s="28"/>
      <c r="JY99" s="28"/>
      <c r="JZ99" s="28"/>
      <c r="KA99" s="28">
        <v>2978.0000045699999</v>
      </c>
      <c r="KB99">
        <v>14980</v>
      </c>
      <c r="KC99">
        <v>0</v>
      </c>
      <c r="KD99">
        <v>4</v>
      </c>
      <c r="KE99">
        <v>0</v>
      </c>
      <c r="KF99">
        <v>0</v>
      </c>
      <c r="KG99">
        <v>0</v>
      </c>
      <c r="KH99">
        <v>7</v>
      </c>
      <c r="KI99">
        <v>6</v>
      </c>
      <c r="KJ99">
        <v>4963</v>
      </c>
      <c r="KK99">
        <v>10280</v>
      </c>
      <c r="KL99">
        <v>162</v>
      </c>
      <c r="KM99">
        <v>0</v>
      </c>
      <c r="KT99">
        <v>2359</v>
      </c>
      <c r="KU99">
        <v>2094</v>
      </c>
      <c r="KV99">
        <v>2122</v>
      </c>
      <c r="KW99">
        <v>198</v>
      </c>
      <c r="KX99">
        <v>15</v>
      </c>
      <c r="KZ99">
        <v>1950</v>
      </c>
      <c r="LA99">
        <v>95</v>
      </c>
      <c r="LB99">
        <v>11</v>
      </c>
      <c r="LD99">
        <v>1224</v>
      </c>
      <c r="LE99">
        <v>1196</v>
      </c>
      <c r="LF99">
        <v>1351</v>
      </c>
      <c r="LG99">
        <v>2274</v>
      </c>
      <c r="LH99">
        <v>9044</v>
      </c>
      <c r="LI99">
        <v>27</v>
      </c>
      <c r="LJ99">
        <v>641</v>
      </c>
      <c r="LK99">
        <v>260</v>
      </c>
      <c r="LL99">
        <v>756</v>
      </c>
      <c r="LM99">
        <v>1</v>
      </c>
      <c r="LN99">
        <v>448</v>
      </c>
      <c r="LO99">
        <v>27</v>
      </c>
      <c r="LP99">
        <v>33</v>
      </c>
      <c r="LQ99">
        <v>742</v>
      </c>
      <c r="LR99">
        <v>192</v>
      </c>
      <c r="LS99">
        <v>570</v>
      </c>
      <c r="LT99">
        <v>0</v>
      </c>
      <c r="LU99">
        <v>180</v>
      </c>
      <c r="LV99">
        <v>22</v>
      </c>
      <c r="LW99" s="44"/>
      <c r="LX99" s="44"/>
      <c r="LY99" s="44"/>
      <c r="LZ99">
        <v>3219</v>
      </c>
      <c r="MA99">
        <v>15405</v>
      </c>
      <c r="MB99">
        <v>13844</v>
      </c>
      <c r="MC99">
        <v>12245</v>
      </c>
      <c r="MD99" s="26">
        <v>40.081821999999995</v>
      </c>
      <c r="ME99" s="26">
        <v>24.513427</v>
      </c>
      <c r="MF99" s="26">
        <v>73.850065999999998</v>
      </c>
      <c r="MG99" s="26">
        <v>26.524037</v>
      </c>
      <c r="MH99" s="26">
        <v>32.680956999999999</v>
      </c>
      <c r="MI99" s="26">
        <v>46.132338999999995</v>
      </c>
      <c r="MJ99" s="26">
        <v>39.484311999999996</v>
      </c>
      <c r="MK99" s="26">
        <v>59.521591000000001</v>
      </c>
      <c r="ML99" s="26">
        <v>7.4867969999999993</v>
      </c>
      <c r="MM99" s="26">
        <v>95.464429999999993</v>
      </c>
      <c r="MN99" s="26">
        <v>82.416899999999998</v>
      </c>
      <c r="MO99" s="26">
        <v>4.173845</v>
      </c>
      <c r="MP99" t="s">
        <v>1030</v>
      </c>
      <c r="MQ99">
        <v>7</v>
      </c>
      <c r="MR99">
        <v>2</v>
      </c>
    </row>
    <row r="100" spans="1:356">
      <c r="A100" t="s">
        <v>203</v>
      </c>
      <c r="B100" t="s">
        <v>204</v>
      </c>
      <c r="C100">
        <v>15171</v>
      </c>
      <c r="D100">
        <v>17125</v>
      </c>
      <c r="E100">
        <v>19092</v>
      </c>
      <c r="F100">
        <f t="shared" si="6"/>
        <v>1967</v>
      </c>
      <c r="G100" s="26">
        <f t="shared" si="7"/>
        <v>11.486131386861317</v>
      </c>
      <c r="H100">
        <v>9413</v>
      </c>
      <c r="I100">
        <v>9679</v>
      </c>
      <c r="J100">
        <v>5244</v>
      </c>
      <c r="K100">
        <v>13848</v>
      </c>
      <c r="L100">
        <v>959</v>
      </c>
      <c r="M100">
        <v>1023</v>
      </c>
      <c r="N100">
        <v>901</v>
      </c>
      <c r="O100">
        <v>811</v>
      </c>
      <c r="P100">
        <v>693</v>
      </c>
      <c r="Q100">
        <v>666</v>
      </c>
      <c r="R100">
        <v>692</v>
      </c>
      <c r="S100">
        <v>671</v>
      </c>
      <c r="T100">
        <v>608</v>
      </c>
      <c r="U100">
        <v>515</v>
      </c>
      <c r="V100">
        <v>434</v>
      </c>
      <c r="W100">
        <v>385</v>
      </c>
      <c r="X100">
        <v>317</v>
      </c>
      <c r="Y100">
        <v>738</v>
      </c>
      <c r="Z100">
        <v>0</v>
      </c>
      <c r="AA100">
        <v>946</v>
      </c>
      <c r="AB100">
        <v>1004</v>
      </c>
      <c r="AC100">
        <v>869</v>
      </c>
      <c r="AD100">
        <v>792</v>
      </c>
      <c r="AE100">
        <v>780</v>
      </c>
      <c r="AF100">
        <v>835</v>
      </c>
      <c r="AG100">
        <v>775</v>
      </c>
      <c r="AH100">
        <v>733</v>
      </c>
      <c r="AI100">
        <v>665</v>
      </c>
      <c r="AJ100">
        <v>533</v>
      </c>
      <c r="AK100">
        <v>428</v>
      </c>
      <c r="AL100">
        <v>400</v>
      </c>
      <c r="AM100">
        <v>276</v>
      </c>
      <c r="AN100">
        <v>643</v>
      </c>
      <c r="AO100">
        <v>0</v>
      </c>
      <c r="AP100">
        <v>18910</v>
      </c>
      <c r="AQ100">
        <v>127</v>
      </c>
      <c r="AR100">
        <v>19</v>
      </c>
      <c r="AS100">
        <v>33</v>
      </c>
      <c r="AT100">
        <v>3</v>
      </c>
      <c r="AU100">
        <v>1166</v>
      </c>
      <c r="AV100">
        <v>598</v>
      </c>
      <c r="AW100">
        <v>568</v>
      </c>
      <c r="AX100">
        <v>1067</v>
      </c>
      <c r="AY100">
        <v>993</v>
      </c>
      <c r="AZ100">
        <v>983</v>
      </c>
      <c r="BA100">
        <v>10</v>
      </c>
      <c r="BB100">
        <v>14</v>
      </c>
      <c r="BC100">
        <v>12</v>
      </c>
      <c r="BD100">
        <v>46</v>
      </c>
      <c r="BE100">
        <v>46</v>
      </c>
      <c r="BF100">
        <v>47</v>
      </c>
      <c r="BG100">
        <v>44</v>
      </c>
      <c r="BH100">
        <v>47</v>
      </c>
      <c r="BI100">
        <v>42</v>
      </c>
      <c r="BJ100">
        <v>36</v>
      </c>
      <c r="BK100">
        <v>36</v>
      </c>
      <c r="BL100">
        <v>46</v>
      </c>
      <c r="BM100">
        <v>46</v>
      </c>
      <c r="BN100">
        <v>36</v>
      </c>
      <c r="BO100">
        <v>38</v>
      </c>
      <c r="BP100">
        <v>51</v>
      </c>
      <c r="BQ100">
        <v>60</v>
      </c>
      <c r="BR100">
        <v>55</v>
      </c>
      <c r="BS100">
        <v>46</v>
      </c>
      <c r="BT100">
        <v>47</v>
      </c>
      <c r="BU100">
        <v>39</v>
      </c>
      <c r="BV100">
        <v>25</v>
      </c>
      <c r="BW100">
        <v>26</v>
      </c>
      <c r="BX100">
        <v>37</v>
      </c>
      <c r="BY100">
        <v>42</v>
      </c>
      <c r="BZ100">
        <v>34</v>
      </c>
      <c r="CA100">
        <v>29</v>
      </c>
      <c r="CB100">
        <v>77</v>
      </c>
      <c r="CC100">
        <v>62</v>
      </c>
      <c r="CD100">
        <v>577</v>
      </c>
      <c r="CE100">
        <v>527</v>
      </c>
      <c r="CF100">
        <v>21</v>
      </c>
      <c r="CG100">
        <v>41</v>
      </c>
      <c r="CH100">
        <v>4174</v>
      </c>
      <c r="CI100">
        <v>887</v>
      </c>
      <c r="CJ100">
        <v>16322</v>
      </c>
      <c r="CK100">
        <v>2770</v>
      </c>
      <c r="CL100">
        <v>430</v>
      </c>
      <c r="CM100">
        <v>883</v>
      </c>
      <c r="CN100">
        <v>984</v>
      </c>
      <c r="CO100">
        <v>1264</v>
      </c>
      <c r="CP100">
        <v>804</v>
      </c>
      <c r="CQ100">
        <v>696</v>
      </c>
      <c r="CR100">
        <v>3872</v>
      </c>
      <c r="CS100">
        <v>7876</v>
      </c>
      <c r="CT100">
        <v>1295</v>
      </c>
      <c r="CU100">
        <v>496</v>
      </c>
      <c r="CV100">
        <v>155</v>
      </c>
      <c r="CW100">
        <v>321</v>
      </c>
      <c r="CX100">
        <v>16</v>
      </c>
      <c r="CY100">
        <v>3482</v>
      </c>
      <c r="CZ100">
        <v>1137</v>
      </c>
      <c r="DA100">
        <v>7</v>
      </c>
      <c r="DB100">
        <v>430</v>
      </c>
      <c r="DC100">
        <v>5</v>
      </c>
      <c r="DD100">
        <v>1046</v>
      </c>
      <c r="DE100">
        <v>3631</v>
      </c>
      <c r="DF100">
        <v>5071</v>
      </c>
      <c r="DG100">
        <v>4100</v>
      </c>
      <c r="DH100">
        <v>0</v>
      </c>
      <c r="DI100">
        <v>5244</v>
      </c>
      <c r="DJ100">
        <v>0</v>
      </c>
      <c r="DK100">
        <v>0</v>
      </c>
      <c r="DL100">
        <v>0</v>
      </c>
      <c r="DM100">
        <v>56</v>
      </c>
      <c r="DN100">
        <v>23</v>
      </c>
      <c r="DO100">
        <v>14</v>
      </c>
      <c r="DP100">
        <v>5</v>
      </c>
      <c r="DQ100">
        <v>0</v>
      </c>
      <c r="DR100">
        <v>1</v>
      </c>
      <c r="DS100">
        <v>0</v>
      </c>
      <c r="DT100">
        <v>0</v>
      </c>
      <c r="DU100">
        <v>0</v>
      </c>
      <c r="DV100">
        <v>550</v>
      </c>
      <c r="DW100">
        <v>656</v>
      </c>
      <c r="DX100">
        <v>902</v>
      </c>
      <c r="DY100">
        <v>900</v>
      </c>
      <c r="DZ100">
        <v>450</v>
      </c>
      <c r="EA100">
        <v>361</v>
      </c>
      <c r="EB100">
        <v>152</v>
      </c>
      <c r="EC100">
        <v>154</v>
      </c>
      <c r="ED100">
        <v>151</v>
      </c>
      <c r="EE100">
        <v>186</v>
      </c>
      <c r="EF100">
        <v>235</v>
      </c>
      <c r="EG100">
        <v>247</v>
      </c>
      <c r="EH100">
        <v>100</v>
      </c>
      <c r="EI100">
        <v>120</v>
      </c>
      <c r="EJ100">
        <v>1010</v>
      </c>
      <c r="EK100">
        <v>1478</v>
      </c>
      <c r="EL100">
        <v>677</v>
      </c>
      <c r="EM100">
        <v>235</v>
      </c>
      <c r="EN100">
        <v>279</v>
      </c>
      <c r="EO100">
        <v>400</v>
      </c>
      <c r="EP100">
        <v>181</v>
      </c>
      <c r="EQ100">
        <v>5761</v>
      </c>
      <c r="ER100">
        <v>5715</v>
      </c>
      <c r="ES100">
        <v>46</v>
      </c>
      <c r="ET100">
        <v>1285</v>
      </c>
      <c r="EU100">
        <v>2128</v>
      </c>
      <c r="EV100">
        <v>2110</v>
      </c>
      <c r="EW100">
        <v>18</v>
      </c>
      <c r="EX100">
        <v>5224</v>
      </c>
      <c r="EY100" s="26">
        <v>58.395989999999998</v>
      </c>
      <c r="EZ100" s="26">
        <v>8.1379920000000006</v>
      </c>
      <c r="FA100" s="26">
        <v>11.101283</v>
      </c>
      <c r="FB100" s="26">
        <v>22.276278999999999</v>
      </c>
      <c r="FC100" s="26">
        <v>8.8456000000000007E-2</v>
      </c>
      <c r="FD100">
        <v>1197</v>
      </c>
      <c r="FE100">
        <v>3315</v>
      </c>
      <c r="FF100">
        <v>250</v>
      </c>
      <c r="FG100">
        <v>1574</v>
      </c>
      <c r="FH100">
        <v>3</v>
      </c>
      <c r="FI100">
        <v>847</v>
      </c>
      <c r="FJ100">
        <v>700</v>
      </c>
      <c r="FK100" s="26" t="s">
        <v>359</v>
      </c>
      <c r="FL100" s="26" t="s">
        <v>359</v>
      </c>
      <c r="FM100" s="26" t="s">
        <v>359</v>
      </c>
      <c r="FN100" s="26" t="s">
        <v>359</v>
      </c>
      <c r="FO100" s="28">
        <v>7557</v>
      </c>
      <c r="FP100" s="28">
        <v>1856</v>
      </c>
      <c r="FQ100">
        <v>1637</v>
      </c>
      <c r="FR100">
        <v>142</v>
      </c>
      <c r="FS100">
        <v>10</v>
      </c>
      <c r="FT100">
        <v>1</v>
      </c>
      <c r="FU100">
        <v>5336</v>
      </c>
      <c r="FV100">
        <v>10</v>
      </c>
      <c r="FW100">
        <v>35</v>
      </c>
      <c r="FX100">
        <v>0</v>
      </c>
      <c r="FY100">
        <v>7946</v>
      </c>
      <c r="FZ100">
        <v>1731</v>
      </c>
      <c r="GA100">
        <v>1590</v>
      </c>
      <c r="GB100">
        <v>150</v>
      </c>
      <c r="GC100">
        <v>21</v>
      </c>
      <c r="GD100">
        <v>1</v>
      </c>
      <c r="GE100">
        <v>5741</v>
      </c>
      <c r="GF100">
        <v>8</v>
      </c>
      <c r="GG100">
        <v>36</v>
      </c>
      <c r="GH100">
        <v>2</v>
      </c>
      <c r="GI100">
        <v>715</v>
      </c>
      <c r="GJ100">
        <v>863</v>
      </c>
      <c r="GK100">
        <v>751</v>
      </c>
      <c r="GL100">
        <v>630</v>
      </c>
      <c r="GM100">
        <v>500</v>
      </c>
      <c r="GN100">
        <v>503</v>
      </c>
      <c r="GO100">
        <v>564</v>
      </c>
      <c r="GP100">
        <v>548</v>
      </c>
      <c r="GQ100">
        <v>493</v>
      </c>
      <c r="GR100">
        <v>417</v>
      </c>
      <c r="GS100">
        <v>355</v>
      </c>
      <c r="GT100">
        <v>327</v>
      </c>
      <c r="GU100">
        <v>267</v>
      </c>
      <c r="GV100">
        <v>213</v>
      </c>
      <c r="GW100">
        <v>152</v>
      </c>
      <c r="GX100">
        <v>120</v>
      </c>
      <c r="GY100">
        <v>67</v>
      </c>
      <c r="GZ100">
        <v>72</v>
      </c>
      <c r="HA100">
        <v>720</v>
      </c>
      <c r="HB100">
        <v>838</v>
      </c>
      <c r="HC100">
        <v>734</v>
      </c>
      <c r="HD100">
        <v>606</v>
      </c>
      <c r="HE100">
        <v>584</v>
      </c>
      <c r="HF100">
        <v>685</v>
      </c>
      <c r="HG100">
        <v>647</v>
      </c>
      <c r="HH100">
        <v>613</v>
      </c>
      <c r="HI100">
        <v>578</v>
      </c>
      <c r="HJ100">
        <v>455</v>
      </c>
      <c r="HK100">
        <v>373</v>
      </c>
      <c r="HL100">
        <v>339</v>
      </c>
      <c r="HM100">
        <v>233</v>
      </c>
      <c r="HN100">
        <v>185</v>
      </c>
      <c r="HO100">
        <v>135</v>
      </c>
      <c r="HP100">
        <v>106</v>
      </c>
      <c r="HQ100">
        <v>62</v>
      </c>
      <c r="HR100">
        <v>53</v>
      </c>
      <c r="HS100">
        <v>4421</v>
      </c>
      <c r="HT100">
        <v>0</v>
      </c>
      <c r="HU100">
        <v>2</v>
      </c>
      <c r="HV100">
        <v>0</v>
      </c>
      <c r="HW100">
        <v>2</v>
      </c>
      <c r="HX100">
        <v>0</v>
      </c>
      <c r="HY100">
        <v>0</v>
      </c>
      <c r="HZ100">
        <v>1</v>
      </c>
      <c r="IA100">
        <v>429</v>
      </c>
      <c r="IB100">
        <v>883</v>
      </c>
      <c r="IC100">
        <v>984</v>
      </c>
      <c r="ID100">
        <v>1263</v>
      </c>
      <c r="IE100">
        <v>804</v>
      </c>
      <c r="IF100">
        <v>361</v>
      </c>
      <c r="IG100">
        <v>171</v>
      </c>
      <c r="IH100">
        <v>69</v>
      </c>
      <c r="II100">
        <v>95</v>
      </c>
      <c r="IJ100">
        <v>381</v>
      </c>
      <c r="IK100">
        <v>1289</v>
      </c>
      <c r="IL100">
        <v>1519</v>
      </c>
      <c r="IM100">
        <v>1088</v>
      </c>
      <c r="IN100">
        <v>516</v>
      </c>
      <c r="IO100">
        <v>172</v>
      </c>
      <c r="IP100">
        <v>55</v>
      </c>
      <c r="IQ100">
        <v>27</v>
      </c>
      <c r="IR100">
        <v>9</v>
      </c>
      <c r="IS100">
        <v>2140</v>
      </c>
      <c r="IT100">
        <v>2056</v>
      </c>
      <c r="IU100">
        <v>676</v>
      </c>
      <c r="IV100">
        <v>156</v>
      </c>
      <c r="IW100">
        <v>28</v>
      </c>
      <c r="IX100">
        <v>2448</v>
      </c>
      <c r="IY100">
        <v>1165</v>
      </c>
      <c r="IZ100">
        <v>34</v>
      </c>
      <c r="JA100">
        <v>38</v>
      </c>
      <c r="JB100">
        <v>156</v>
      </c>
      <c r="JC100">
        <v>428</v>
      </c>
      <c r="JD100">
        <v>4917</v>
      </c>
      <c r="JE100">
        <v>139</v>
      </c>
      <c r="JF100">
        <v>3</v>
      </c>
      <c r="JH100" s="28">
        <v>3896.677273045535</v>
      </c>
      <c r="JI100" s="28">
        <v>244.81869315927463</v>
      </c>
      <c r="JJ100">
        <v>745</v>
      </c>
      <c r="JK100">
        <v>3761</v>
      </c>
      <c r="JL100">
        <v>550</v>
      </c>
      <c r="JM100">
        <v>3</v>
      </c>
      <c r="JN100">
        <v>3896</v>
      </c>
      <c r="JO100">
        <v>3038</v>
      </c>
      <c r="JP100">
        <v>1248</v>
      </c>
      <c r="JQ100">
        <v>3044</v>
      </c>
      <c r="JR100">
        <v>4279</v>
      </c>
      <c r="JS100">
        <v>440</v>
      </c>
      <c r="JT100">
        <v>158</v>
      </c>
      <c r="JU100">
        <v>3410</v>
      </c>
      <c r="JV100">
        <v>672</v>
      </c>
      <c r="JW100" s="28"/>
      <c r="JX100" s="28"/>
      <c r="JY100" s="28"/>
      <c r="JZ100" s="28"/>
      <c r="KA100" s="28">
        <v>5024.0000167600001</v>
      </c>
      <c r="KB100">
        <v>16907</v>
      </c>
      <c r="KC100">
        <v>0</v>
      </c>
      <c r="KD100">
        <v>2</v>
      </c>
      <c r="KE100">
        <v>0</v>
      </c>
      <c r="KF100">
        <v>5</v>
      </c>
      <c r="KG100">
        <v>0</v>
      </c>
      <c r="KH100">
        <v>0</v>
      </c>
      <c r="KI100">
        <v>3</v>
      </c>
      <c r="KJ100">
        <v>3022</v>
      </c>
      <c r="KK100">
        <v>14172</v>
      </c>
      <c r="KL100">
        <v>1889</v>
      </c>
      <c r="KM100">
        <v>4</v>
      </c>
      <c r="KT100">
        <v>2480</v>
      </c>
      <c r="KU100">
        <v>2364</v>
      </c>
      <c r="KV100">
        <v>2086</v>
      </c>
      <c r="KW100">
        <v>220</v>
      </c>
      <c r="KX100">
        <v>96</v>
      </c>
      <c r="KZ100">
        <v>1999</v>
      </c>
      <c r="LA100">
        <v>176</v>
      </c>
      <c r="LB100">
        <v>105</v>
      </c>
      <c r="LD100">
        <v>1426</v>
      </c>
      <c r="LE100">
        <v>1386</v>
      </c>
      <c r="LF100">
        <v>1024</v>
      </c>
      <c r="LG100">
        <v>1339</v>
      </c>
      <c r="LH100">
        <v>13390</v>
      </c>
      <c r="LI100">
        <v>46</v>
      </c>
      <c r="LJ100">
        <v>1347</v>
      </c>
      <c r="LK100">
        <v>202</v>
      </c>
      <c r="LL100">
        <v>1218</v>
      </c>
      <c r="LM100">
        <v>2</v>
      </c>
      <c r="LN100">
        <v>565</v>
      </c>
      <c r="LO100">
        <v>287</v>
      </c>
      <c r="LP100">
        <v>48</v>
      </c>
      <c r="LQ100">
        <v>1292</v>
      </c>
      <c r="LR100">
        <v>146</v>
      </c>
      <c r="LS100">
        <v>1683</v>
      </c>
      <c r="LT100">
        <v>4</v>
      </c>
      <c r="LU100">
        <v>573</v>
      </c>
      <c r="LV100">
        <v>281</v>
      </c>
      <c r="LW100" s="44"/>
      <c r="LX100" s="44"/>
      <c r="LY100" s="44"/>
      <c r="LZ100">
        <v>5059</v>
      </c>
      <c r="MA100">
        <v>19087</v>
      </c>
      <c r="MB100">
        <v>18539</v>
      </c>
      <c r="MC100">
        <v>1504</v>
      </c>
      <c r="MD100" s="26">
        <v>17.647497999999999</v>
      </c>
      <c r="ME100" s="26">
        <v>10.411764999999999</v>
      </c>
      <c r="MF100" s="26">
        <v>59.499626999999997</v>
      </c>
      <c r="MG100" s="26">
        <v>18.787973999999998</v>
      </c>
      <c r="MH100" s="26">
        <v>14.726229999999999</v>
      </c>
      <c r="MI100" s="26">
        <v>2.1743429999999999</v>
      </c>
      <c r="MJ100" s="26">
        <v>6.4439609999999998</v>
      </c>
      <c r="MK100" s="26">
        <v>2.747579</v>
      </c>
      <c r="ML100" s="26">
        <v>0.69183600000000001</v>
      </c>
      <c r="MM100" s="26">
        <v>39.948605999999998</v>
      </c>
      <c r="MN100" s="26">
        <v>22.988733</v>
      </c>
      <c r="MO100" s="26">
        <v>0.31739200000000001</v>
      </c>
      <c r="MP100" t="s">
        <v>1029</v>
      </c>
      <c r="MQ100">
        <v>726</v>
      </c>
      <c r="MR100">
        <v>71</v>
      </c>
    </row>
    <row r="101" spans="1:356">
      <c r="A101" t="s">
        <v>205</v>
      </c>
      <c r="B101" t="s">
        <v>206</v>
      </c>
      <c r="C101">
        <v>7784</v>
      </c>
      <c r="D101">
        <v>8065</v>
      </c>
      <c r="E101">
        <v>8561</v>
      </c>
      <c r="F101">
        <f t="shared" si="6"/>
        <v>496</v>
      </c>
      <c r="G101" s="26">
        <f t="shared" si="7"/>
        <v>6.1500309981401102</v>
      </c>
      <c r="H101">
        <v>4344</v>
      </c>
      <c r="I101">
        <v>4217</v>
      </c>
      <c r="J101">
        <v>0</v>
      </c>
      <c r="K101">
        <v>8561</v>
      </c>
      <c r="L101">
        <v>481</v>
      </c>
      <c r="M101">
        <v>523</v>
      </c>
      <c r="N101">
        <v>536</v>
      </c>
      <c r="O101">
        <v>395</v>
      </c>
      <c r="P101">
        <v>350</v>
      </c>
      <c r="Q101">
        <v>269</v>
      </c>
      <c r="R101">
        <v>253</v>
      </c>
      <c r="S101">
        <v>259</v>
      </c>
      <c r="T101">
        <v>242</v>
      </c>
      <c r="U101">
        <v>214</v>
      </c>
      <c r="V101">
        <v>187</v>
      </c>
      <c r="W101">
        <v>173</v>
      </c>
      <c r="X101">
        <v>138</v>
      </c>
      <c r="Y101">
        <v>324</v>
      </c>
      <c r="Z101">
        <v>0</v>
      </c>
      <c r="AA101">
        <v>433</v>
      </c>
      <c r="AB101">
        <v>469</v>
      </c>
      <c r="AC101">
        <v>475</v>
      </c>
      <c r="AD101">
        <v>425</v>
      </c>
      <c r="AE101">
        <v>332</v>
      </c>
      <c r="AF101">
        <v>314</v>
      </c>
      <c r="AG101">
        <v>284</v>
      </c>
      <c r="AH101">
        <v>267</v>
      </c>
      <c r="AI101">
        <v>231</v>
      </c>
      <c r="AJ101">
        <v>255</v>
      </c>
      <c r="AK101">
        <v>193</v>
      </c>
      <c r="AL101">
        <v>145</v>
      </c>
      <c r="AM101">
        <v>114</v>
      </c>
      <c r="AN101">
        <v>280</v>
      </c>
      <c r="AO101">
        <v>0</v>
      </c>
      <c r="AP101">
        <v>8371</v>
      </c>
      <c r="AQ101">
        <v>178</v>
      </c>
      <c r="AR101">
        <v>3</v>
      </c>
      <c r="AS101">
        <v>1</v>
      </c>
      <c r="AT101">
        <v>8</v>
      </c>
      <c r="AU101">
        <v>1475</v>
      </c>
      <c r="AV101">
        <v>799</v>
      </c>
      <c r="AW101">
        <v>676</v>
      </c>
      <c r="AX101">
        <v>1026</v>
      </c>
      <c r="AY101">
        <v>1122</v>
      </c>
      <c r="AZ101">
        <v>1122</v>
      </c>
      <c r="BA101">
        <v>0</v>
      </c>
      <c r="BB101">
        <v>6</v>
      </c>
      <c r="BC101">
        <v>10</v>
      </c>
      <c r="BD101">
        <v>61</v>
      </c>
      <c r="BE101">
        <v>40</v>
      </c>
      <c r="BF101">
        <v>74</v>
      </c>
      <c r="BG101">
        <v>45</v>
      </c>
      <c r="BH101">
        <v>62</v>
      </c>
      <c r="BI101">
        <v>71</v>
      </c>
      <c r="BJ101">
        <v>73</v>
      </c>
      <c r="BK101">
        <v>65</v>
      </c>
      <c r="BL101">
        <v>59</v>
      </c>
      <c r="BM101">
        <v>58</v>
      </c>
      <c r="BN101">
        <v>57</v>
      </c>
      <c r="BO101">
        <v>48</v>
      </c>
      <c r="BP101">
        <v>42</v>
      </c>
      <c r="BQ101">
        <v>54</v>
      </c>
      <c r="BR101">
        <v>57</v>
      </c>
      <c r="BS101">
        <v>48</v>
      </c>
      <c r="BT101">
        <v>48</v>
      </c>
      <c r="BU101">
        <v>48</v>
      </c>
      <c r="BV101">
        <v>49</v>
      </c>
      <c r="BW101">
        <v>47</v>
      </c>
      <c r="BX101">
        <v>51</v>
      </c>
      <c r="BY101">
        <v>43</v>
      </c>
      <c r="BZ101">
        <v>41</v>
      </c>
      <c r="CA101">
        <v>28</v>
      </c>
      <c r="CB101">
        <v>119</v>
      </c>
      <c r="CC101">
        <v>71</v>
      </c>
      <c r="CD101">
        <v>782</v>
      </c>
      <c r="CE101">
        <v>658</v>
      </c>
      <c r="CF101">
        <v>14</v>
      </c>
      <c r="CG101">
        <v>15</v>
      </c>
      <c r="CH101">
        <v>1642</v>
      </c>
      <c r="CI101">
        <v>416</v>
      </c>
      <c r="CJ101">
        <v>7007</v>
      </c>
      <c r="CK101">
        <v>1491</v>
      </c>
      <c r="CL101">
        <v>188</v>
      </c>
      <c r="CM101">
        <v>282</v>
      </c>
      <c r="CN101">
        <v>371</v>
      </c>
      <c r="CO101">
        <v>429</v>
      </c>
      <c r="CP101">
        <v>337</v>
      </c>
      <c r="CQ101">
        <v>451</v>
      </c>
      <c r="CR101">
        <v>1533</v>
      </c>
      <c r="CS101">
        <v>3806</v>
      </c>
      <c r="CT101">
        <v>624</v>
      </c>
      <c r="CU101">
        <v>203</v>
      </c>
      <c r="CV101">
        <v>88</v>
      </c>
      <c r="CW101">
        <v>178</v>
      </c>
      <c r="CX101">
        <v>8</v>
      </c>
      <c r="CY101">
        <v>1348</v>
      </c>
      <c r="CZ101">
        <v>515</v>
      </c>
      <c r="DA101">
        <v>6</v>
      </c>
      <c r="DB101">
        <v>188</v>
      </c>
      <c r="DC101">
        <v>1</v>
      </c>
      <c r="DD101">
        <v>1120</v>
      </c>
      <c r="DE101">
        <v>321</v>
      </c>
      <c r="DF101">
        <v>1548</v>
      </c>
      <c r="DG101">
        <v>5572</v>
      </c>
      <c r="DH101">
        <v>0</v>
      </c>
      <c r="DI101">
        <v>0</v>
      </c>
      <c r="DJ101">
        <v>0</v>
      </c>
      <c r="DK101">
        <v>0</v>
      </c>
      <c r="DL101">
        <v>0</v>
      </c>
      <c r="DM101">
        <v>50</v>
      </c>
      <c r="DN101">
        <v>2</v>
      </c>
      <c r="DO101">
        <v>5</v>
      </c>
      <c r="DP101">
        <v>6</v>
      </c>
      <c r="DQ101">
        <v>0</v>
      </c>
      <c r="DR101">
        <v>0</v>
      </c>
      <c r="DS101">
        <v>0</v>
      </c>
      <c r="DT101">
        <v>0</v>
      </c>
      <c r="DU101">
        <v>0</v>
      </c>
      <c r="DV101">
        <v>128</v>
      </c>
      <c r="DW101">
        <v>127</v>
      </c>
      <c r="DX101">
        <v>149</v>
      </c>
      <c r="DY101">
        <v>149</v>
      </c>
      <c r="DZ101">
        <v>97</v>
      </c>
      <c r="EA101">
        <v>91</v>
      </c>
      <c r="EB101">
        <v>79</v>
      </c>
      <c r="EC101">
        <v>57</v>
      </c>
      <c r="ED101">
        <v>62</v>
      </c>
      <c r="EE101">
        <v>65</v>
      </c>
      <c r="EF101">
        <v>65</v>
      </c>
      <c r="EG101">
        <v>69</v>
      </c>
      <c r="EH101">
        <v>49</v>
      </c>
      <c r="EI101">
        <v>46</v>
      </c>
      <c r="EJ101">
        <v>182</v>
      </c>
      <c r="EK101">
        <v>236</v>
      </c>
      <c r="EL101">
        <v>127</v>
      </c>
      <c r="EM101">
        <v>89</v>
      </c>
      <c r="EN101">
        <v>80</v>
      </c>
      <c r="EO101">
        <v>93</v>
      </c>
      <c r="EP101">
        <v>53</v>
      </c>
      <c r="EQ101">
        <v>2460</v>
      </c>
      <c r="ER101">
        <v>2307</v>
      </c>
      <c r="ES101">
        <v>153</v>
      </c>
      <c r="ET101">
        <v>661</v>
      </c>
      <c r="EU101">
        <v>1064</v>
      </c>
      <c r="EV101">
        <v>1055</v>
      </c>
      <c r="EW101">
        <v>9</v>
      </c>
      <c r="EX101">
        <v>2050</v>
      </c>
      <c r="EY101" s="26">
        <v>55.852843</v>
      </c>
      <c r="EZ101" s="26">
        <v>10.744147000000002</v>
      </c>
      <c r="FA101" s="26">
        <v>11.287625</v>
      </c>
      <c r="FB101" s="26">
        <v>21.864547999999999</v>
      </c>
      <c r="FC101" s="26">
        <v>0.250836</v>
      </c>
      <c r="FD101">
        <v>438</v>
      </c>
      <c r="FE101">
        <v>1249</v>
      </c>
      <c r="FF101">
        <v>157</v>
      </c>
      <c r="FG101">
        <v>734</v>
      </c>
      <c r="FH101">
        <v>0</v>
      </c>
      <c r="FI101">
        <v>646</v>
      </c>
      <c r="FJ101">
        <v>296</v>
      </c>
      <c r="FK101" s="26" t="s">
        <v>359</v>
      </c>
      <c r="FL101" s="26" t="s">
        <v>359</v>
      </c>
      <c r="FM101" s="26" t="s">
        <v>359</v>
      </c>
      <c r="FN101" s="26" t="s">
        <v>359</v>
      </c>
      <c r="FO101" s="28">
        <v>3100</v>
      </c>
      <c r="FP101" s="28">
        <v>1242</v>
      </c>
      <c r="FQ101">
        <v>70</v>
      </c>
      <c r="FR101">
        <v>53</v>
      </c>
      <c r="FS101">
        <v>8</v>
      </c>
      <c r="FT101">
        <v>3</v>
      </c>
      <c r="FU101">
        <v>2813</v>
      </c>
      <c r="FV101">
        <v>15</v>
      </c>
      <c r="FW101">
        <v>11</v>
      </c>
      <c r="FX101">
        <v>2</v>
      </c>
      <c r="FY101">
        <v>3133</v>
      </c>
      <c r="FZ101">
        <v>1080</v>
      </c>
      <c r="GA101">
        <v>57</v>
      </c>
      <c r="GB101">
        <v>53</v>
      </c>
      <c r="GC101">
        <v>9</v>
      </c>
      <c r="GD101">
        <v>2</v>
      </c>
      <c r="GE101">
        <v>2886</v>
      </c>
      <c r="GF101">
        <v>14</v>
      </c>
      <c r="GG101">
        <v>25</v>
      </c>
      <c r="GH101">
        <v>4</v>
      </c>
      <c r="GI101">
        <v>339</v>
      </c>
      <c r="GJ101">
        <v>386</v>
      </c>
      <c r="GK101">
        <v>421</v>
      </c>
      <c r="GL101">
        <v>275</v>
      </c>
      <c r="GM101">
        <v>241</v>
      </c>
      <c r="GN101">
        <v>189</v>
      </c>
      <c r="GO101">
        <v>173</v>
      </c>
      <c r="GP101">
        <v>195</v>
      </c>
      <c r="GQ101">
        <v>164</v>
      </c>
      <c r="GR101">
        <v>151</v>
      </c>
      <c r="GS101">
        <v>131</v>
      </c>
      <c r="GT101">
        <v>116</v>
      </c>
      <c r="GU101">
        <v>99</v>
      </c>
      <c r="GV101">
        <v>74</v>
      </c>
      <c r="GW101">
        <v>59</v>
      </c>
      <c r="GX101">
        <v>33</v>
      </c>
      <c r="GY101">
        <v>36</v>
      </c>
      <c r="GZ101">
        <v>18</v>
      </c>
      <c r="HA101">
        <v>301</v>
      </c>
      <c r="HB101">
        <v>358</v>
      </c>
      <c r="HC101">
        <v>364</v>
      </c>
      <c r="HD101">
        <v>301</v>
      </c>
      <c r="HE101">
        <v>259</v>
      </c>
      <c r="HF101">
        <v>237</v>
      </c>
      <c r="HG101">
        <v>209</v>
      </c>
      <c r="HH101">
        <v>196</v>
      </c>
      <c r="HI101">
        <v>172</v>
      </c>
      <c r="HJ101">
        <v>198</v>
      </c>
      <c r="HK101">
        <v>149</v>
      </c>
      <c r="HL101">
        <v>106</v>
      </c>
      <c r="HM101">
        <v>79</v>
      </c>
      <c r="HN101">
        <v>62</v>
      </c>
      <c r="HO101">
        <v>51</v>
      </c>
      <c r="HP101">
        <v>40</v>
      </c>
      <c r="HQ101">
        <v>25</v>
      </c>
      <c r="HR101">
        <v>26</v>
      </c>
      <c r="HS101">
        <v>1840</v>
      </c>
      <c r="HT101">
        <v>0</v>
      </c>
      <c r="HU101">
        <v>3</v>
      </c>
      <c r="HV101">
        <v>0</v>
      </c>
      <c r="HW101">
        <v>8</v>
      </c>
      <c r="HX101">
        <v>0</v>
      </c>
      <c r="HY101">
        <v>2</v>
      </c>
      <c r="HZ101">
        <v>0</v>
      </c>
      <c r="IA101">
        <v>185</v>
      </c>
      <c r="IB101">
        <v>282</v>
      </c>
      <c r="IC101">
        <v>369</v>
      </c>
      <c r="ID101">
        <v>427</v>
      </c>
      <c r="IE101">
        <v>336</v>
      </c>
      <c r="IF101">
        <v>204</v>
      </c>
      <c r="IG101">
        <v>101</v>
      </c>
      <c r="IH101">
        <v>72</v>
      </c>
      <c r="II101">
        <v>72</v>
      </c>
      <c r="IJ101">
        <v>146</v>
      </c>
      <c r="IK101">
        <v>463</v>
      </c>
      <c r="IL101">
        <v>524</v>
      </c>
      <c r="IM101">
        <v>597</v>
      </c>
      <c r="IN101">
        <v>247</v>
      </c>
      <c r="IO101">
        <v>60</v>
      </c>
      <c r="IP101">
        <v>7</v>
      </c>
      <c r="IQ101">
        <v>4</v>
      </c>
      <c r="IR101">
        <v>0</v>
      </c>
      <c r="IS101">
        <v>915</v>
      </c>
      <c r="IT101">
        <v>790</v>
      </c>
      <c r="IU101">
        <v>277</v>
      </c>
      <c r="IV101">
        <v>59</v>
      </c>
      <c r="IW101">
        <v>7</v>
      </c>
      <c r="IX101">
        <v>1486</v>
      </c>
      <c r="IY101">
        <v>226</v>
      </c>
      <c r="IZ101">
        <v>1</v>
      </c>
      <c r="JA101">
        <v>16</v>
      </c>
      <c r="JB101">
        <v>0</v>
      </c>
      <c r="JC101">
        <v>136</v>
      </c>
      <c r="JD101">
        <v>1991</v>
      </c>
      <c r="JE101">
        <v>57</v>
      </c>
      <c r="JF101">
        <v>0</v>
      </c>
      <c r="JH101" s="28">
        <v>1638.9424337483783</v>
      </c>
      <c r="JI101" s="28">
        <v>74.516793822066717</v>
      </c>
      <c r="JJ101">
        <v>243</v>
      </c>
      <c r="JK101">
        <v>1677</v>
      </c>
      <c r="JL101">
        <v>128</v>
      </c>
      <c r="JM101">
        <v>0</v>
      </c>
      <c r="JN101">
        <v>1181</v>
      </c>
      <c r="JO101">
        <v>710</v>
      </c>
      <c r="JP101">
        <v>141</v>
      </c>
      <c r="JQ101">
        <v>695</v>
      </c>
      <c r="JR101">
        <v>1443</v>
      </c>
      <c r="JS101">
        <v>115</v>
      </c>
      <c r="JT101">
        <v>19</v>
      </c>
      <c r="JU101">
        <v>1230</v>
      </c>
      <c r="JV101">
        <v>285</v>
      </c>
      <c r="JW101" s="28"/>
      <c r="JX101" s="28"/>
      <c r="JY101" s="28"/>
      <c r="JZ101" s="28"/>
      <c r="KA101" s="28">
        <v>2018.99999232</v>
      </c>
      <c r="KB101">
        <v>7649</v>
      </c>
      <c r="KC101">
        <v>0</v>
      </c>
      <c r="KD101">
        <v>11</v>
      </c>
      <c r="KE101">
        <v>0</v>
      </c>
      <c r="KF101">
        <v>25</v>
      </c>
      <c r="KG101">
        <v>0</v>
      </c>
      <c r="KH101">
        <v>10</v>
      </c>
      <c r="KI101">
        <v>0</v>
      </c>
      <c r="KJ101">
        <v>1006</v>
      </c>
      <c r="KK101">
        <v>6966</v>
      </c>
      <c r="KL101">
        <v>491</v>
      </c>
      <c r="KM101">
        <v>0</v>
      </c>
      <c r="KT101">
        <v>1344</v>
      </c>
      <c r="KU101">
        <v>1251</v>
      </c>
      <c r="KV101">
        <v>1097</v>
      </c>
      <c r="KW101">
        <v>145</v>
      </c>
      <c r="KX101">
        <v>56</v>
      </c>
      <c r="KZ101">
        <v>1032</v>
      </c>
      <c r="LA101">
        <v>135</v>
      </c>
      <c r="LB101">
        <v>49</v>
      </c>
      <c r="LD101">
        <v>809</v>
      </c>
      <c r="LE101">
        <v>756</v>
      </c>
      <c r="LF101">
        <v>309</v>
      </c>
      <c r="LG101">
        <v>474</v>
      </c>
      <c r="LH101">
        <v>5644</v>
      </c>
      <c r="LI101">
        <v>4</v>
      </c>
      <c r="LJ101">
        <v>538</v>
      </c>
      <c r="LK101">
        <v>73</v>
      </c>
      <c r="LL101">
        <v>526</v>
      </c>
      <c r="LM101">
        <v>0</v>
      </c>
      <c r="LN101">
        <v>433</v>
      </c>
      <c r="LO101">
        <v>131</v>
      </c>
      <c r="LP101">
        <v>2</v>
      </c>
      <c r="LQ101">
        <v>483</v>
      </c>
      <c r="LR101">
        <v>67</v>
      </c>
      <c r="LS101">
        <v>739</v>
      </c>
      <c r="LT101">
        <v>0</v>
      </c>
      <c r="LU101">
        <v>338</v>
      </c>
      <c r="LV101">
        <v>100</v>
      </c>
      <c r="LW101" s="44"/>
      <c r="LX101" s="44"/>
      <c r="LY101" s="44"/>
      <c r="LZ101">
        <v>2048</v>
      </c>
      <c r="MA101">
        <v>8463</v>
      </c>
      <c r="MB101">
        <v>8082</v>
      </c>
      <c r="MC101">
        <v>1303</v>
      </c>
      <c r="MD101" s="26">
        <v>13.873139999999999</v>
      </c>
      <c r="ME101" s="26">
        <v>9.9502489999999995</v>
      </c>
      <c r="MF101" s="26">
        <v>51.045358</v>
      </c>
      <c r="MG101" s="26">
        <v>27.122999999999998</v>
      </c>
      <c r="MH101" s="26">
        <v>11.865233999999999</v>
      </c>
      <c r="MI101" s="26">
        <v>2.6855469999999997</v>
      </c>
      <c r="MJ101" s="26">
        <v>1.1230469999999999</v>
      </c>
      <c r="MK101" s="26">
        <v>2.7832029999999999</v>
      </c>
      <c r="ML101" s="26">
        <v>1.4160159999999999</v>
      </c>
      <c r="MM101" s="26">
        <v>65.332031000000001</v>
      </c>
      <c r="MN101" s="26">
        <v>42.333984000000001</v>
      </c>
      <c r="MO101" s="26">
        <v>0.36984600000000001</v>
      </c>
      <c r="MP101" t="s">
        <v>1029</v>
      </c>
      <c r="MQ101">
        <v>688</v>
      </c>
      <c r="MR101">
        <v>67</v>
      </c>
    </row>
    <row r="102" spans="1:356">
      <c r="A102" t="s">
        <v>207</v>
      </c>
      <c r="B102" t="s">
        <v>208</v>
      </c>
      <c r="C102">
        <v>7767</v>
      </c>
      <c r="D102">
        <v>9740</v>
      </c>
      <c r="E102">
        <v>10890</v>
      </c>
      <c r="F102">
        <f t="shared" si="6"/>
        <v>1150</v>
      </c>
      <c r="G102" s="26">
        <f t="shared" si="7"/>
        <v>11.80698151950719</v>
      </c>
      <c r="H102">
        <v>5465</v>
      </c>
      <c r="I102">
        <v>5425</v>
      </c>
      <c r="J102">
        <v>7994</v>
      </c>
      <c r="K102">
        <v>2896</v>
      </c>
      <c r="L102">
        <v>649</v>
      </c>
      <c r="M102">
        <v>566</v>
      </c>
      <c r="N102">
        <v>593</v>
      </c>
      <c r="O102">
        <v>524</v>
      </c>
      <c r="P102">
        <v>497</v>
      </c>
      <c r="Q102">
        <v>403</v>
      </c>
      <c r="R102">
        <v>370</v>
      </c>
      <c r="S102">
        <v>370</v>
      </c>
      <c r="T102">
        <v>336</v>
      </c>
      <c r="U102">
        <v>286</v>
      </c>
      <c r="V102">
        <v>220</v>
      </c>
      <c r="W102">
        <v>158</v>
      </c>
      <c r="X102">
        <v>125</v>
      </c>
      <c r="Y102">
        <v>368</v>
      </c>
      <c r="Z102">
        <v>0</v>
      </c>
      <c r="AA102">
        <v>616</v>
      </c>
      <c r="AB102">
        <v>585</v>
      </c>
      <c r="AC102">
        <v>586</v>
      </c>
      <c r="AD102">
        <v>536</v>
      </c>
      <c r="AE102">
        <v>443</v>
      </c>
      <c r="AF102">
        <v>446</v>
      </c>
      <c r="AG102">
        <v>439</v>
      </c>
      <c r="AH102">
        <v>373</v>
      </c>
      <c r="AI102">
        <v>323</v>
      </c>
      <c r="AJ102">
        <v>256</v>
      </c>
      <c r="AK102">
        <v>204</v>
      </c>
      <c r="AL102">
        <v>165</v>
      </c>
      <c r="AM102">
        <v>141</v>
      </c>
      <c r="AN102">
        <v>312</v>
      </c>
      <c r="AO102">
        <v>0</v>
      </c>
      <c r="AP102">
        <v>10792</v>
      </c>
      <c r="AQ102">
        <v>91</v>
      </c>
      <c r="AR102">
        <v>1</v>
      </c>
      <c r="AS102">
        <v>3</v>
      </c>
      <c r="AT102">
        <v>3</v>
      </c>
      <c r="AU102">
        <v>3334</v>
      </c>
      <c r="AV102">
        <v>1692</v>
      </c>
      <c r="AW102">
        <v>1642</v>
      </c>
      <c r="AX102">
        <v>2044</v>
      </c>
      <c r="AY102">
        <v>2691</v>
      </c>
      <c r="AZ102">
        <v>1761</v>
      </c>
      <c r="BA102">
        <v>930</v>
      </c>
      <c r="BB102">
        <v>70</v>
      </c>
      <c r="BC102">
        <v>57</v>
      </c>
      <c r="BD102">
        <v>138</v>
      </c>
      <c r="BE102">
        <v>163</v>
      </c>
      <c r="BF102">
        <v>185</v>
      </c>
      <c r="BG102">
        <v>175</v>
      </c>
      <c r="BH102">
        <v>188</v>
      </c>
      <c r="BI102">
        <v>177</v>
      </c>
      <c r="BJ102">
        <v>173</v>
      </c>
      <c r="BK102">
        <v>141</v>
      </c>
      <c r="BL102">
        <v>127</v>
      </c>
      <c r="BM102">
        <v>162</v>
      </c>
      <c r="BN102">
        <v>138</v>
      </c>
      <c r="BO102">
        <v>143</v>
      </c>
      <c r="BP102">
        <v>136</v>
      </c>
      <c r="BQ102">
        <v>128</v>
      </c>
      <c r="BR102">
        <v>130</v>
      </c>
      <c r="BS102">
        <v>116</v>
      </c>
      <c r="BT102">
        <v>107</v>
      </c>
      <c r="BU102">
        <v>99</v>
      </c>
      <c r="BV102">
        <v>85</v>
      </c>
      <c r="BW102">
        <v>72</v>
      </c>
      <c r="BX102">
        <v>49</v>
      </c>
      <c r="BY102">
        <v>59</v>
      </c>
      <c r="BZ102">
        <v>44</v>
      </c>
      <c r="CA102">
        <v>55</v>
      </c>
      <c r="CB102">
        <v>122</v>
      </c>
      <c r="CC102">
        <v>95</v>
      </c>
      <c r="CD102">
        <v>1670</v>
      </c>
      <c r="CE102">
        <v>1611</v>
      </c>
      <c r="CF102">
        <v>19</v>
      </c>
      <c r="CG102">
        <v>29</v>
      </c>
      <c r="CH102">
        <v>2056</v>
      </c>
      <c r="CI102">
        <v>511</v>
      </c>
      <c r="CJ102">
        <v>8990</v>
      </c>
      <c r="CK102">
        <v>1900</v>
      </c>
      <c r="CL102">
        <v>222</v>
      </c>
      <c r="CM102">
        <v>367</v>
      </c>
      <c r="CN102">
        <v>386</v>
      </c>
      <c r="CO102">
        <v>535</v>
      </c>
      <c r="CP102">
        <v>492</v>
      </c>
      <c r="CQ102">
        <v>565</v>
      </c>
      <c r="CR102">
        <v>2003</v>
      </c>
      <c r="CS102">
        <v>4739</v>
      </c>
      <c r="CT102">
        <v>915</v>
      </c>
      <c r="CU102">
        <v>393</v>
      </c>
      <c r="CV102">
        <v>70</v>
      </c>
      <c r="CW102">
        <v>194</v>
      </c>
      <c r="CX102">
        <v>9</v>
      </c>
      <c r="CY102">
        <v>1691</v>
      </c>
      <c r="CZ102">
        <v>647</v>
      </c>
      <c r="DA102">
        <v>6</v>
      </c>
      <c r="DB102">
        <v>222</v>
      </c>
      <c r="DC102">
        <v>1</v>
      </c>
      <c r="DD102">
        <v>386</v>
      </c>
      <c r="DE102">
        <v>458</v>
      </c>
      <c r="DF102">
        <v>0</v>
      </c>
      <c r="DG102">
        <v>2052</v>
      </c>
      <c r="DH102">
        <v>7994</v>
      </c>
      <c r="DI102">
        <v>0</v>
      </c>
      <c r="DJ102">
        <v>0</v>
      </c>
      <c r="DK102">
        <v>0</v>
      </c>
      <c r="DL102">
        <v>0</v>
      </c>
      <c r="DM102">
        <v>12</v>
      </c>
      <c r="DN102">
        <v>3</v>
      </c>
      <c r="DO102">
        <v>0</v>
      </c>
      <c r="DP102">
        <v>3</v>
      </c>
      <c r="DQ102">
        <v>2</v>
      </c>
      <c r="DR102">
        <v>0</v>
      </c>
      <c r="DS102">
        <v>0</v>
      </c>
      <c r="DT102">
        <v>0</v>
      </c>
      <c r="DU102">
        <v>0</v>
      </c>
      <c r="DV102">
        <v>374</v>
      </c>
      <c r="DW102">
        <v>345</v>
      </c>
      <c r="DX102">
        <v>476</v>
      </c>
      <c r="DY102">
        <v>478</v>
      </c>
      <c r="DZ102">
        <v>190</v>
      </c>
      <c r="EA102">
        <v>161</v>
      </c>
      <c r="EB102">
        <v>113</v>
      </c>
      <c r="EC102">
        <v>70</v>
      </c>
      <c r="ED102">
        <v>65</v>
      </c>
      <c r="EE102">
        <v>52</v>
      </c>
      <c r="EF102">
        <v>143</v>
      </c>
      <c r="EG102">
        <v>140</v>
      </c>
      <c r="EH102">
        <v>64</v>
      </c>
      <c r="EI102">
        <v>48</v>
      </c>
      <c r="EJ102">
        <v>589</v>
      </c>
      <c r="EK102">
        <v>773</v>
      </c>
      <c r="EL102">
        <v>288</v>
      </c>
      <c r="EM102">
        <v>153</v>
      </c>
      <c r="EN102">
        <v>100</v>
      </c>
      <c r="EO102">
        <v>238</v>
      </c>
      <c r="EP102">
        <v>87</v>
      </c>
      <c r="EQ102">
        <v>3159</v>
      </c>
      <c r="ER102">
        <v>2960</v>
      </c>
      <c r="ES102">
        <v>199</v>
      </c>
      <c r="ET102">
        <v>818</v>
      </c>
      <c r="EU102">
        <v>1113</v>
      </c>
      <c r="EV102">
        <v>1093</v>
      </c>
      <c r="EW102">
        <v>20</v>
      </c>
      <c r="EX102">
        <v>2864</v>
      </c>
      <c r="EY102" s="26">
        <v>34.390993000000002</v>
      </c>
      <c r="EZ102" s="26">
        <v>28.045036</v>
      </c>
      <c r="FA102" s="26">
        <v>11.975434999999999</v>
      </c>
      <c r="FB102" s="26">
        <v>24.718526000000001</v>
      </c>
      <c r="FC102" s="26">
        <v>0.87000999999999995</v>
      </c>
      <c r="FD102">
        <v>439</v>
      </c>
      <c r="FE102">
        <v>1675</v>
      </c>
      <c r="FF102">
        <v>155</v>
      </c>
      <c r="FG102">
        <v>1109</v>
      </c>
      <c r="FH102">
        <v>1</v>
      </c>
      <c r="FI102">
        <v>585</v>
      </c>
      <c r="FJ102">
        <v>308</v>
      </c>
      <c r="FK102" s="26" t="s">
        <v>359</v>
      </c>
      <c r="FL102" s="26" t="s">
        <v>359</v>
      </c>
      <c r="FM102" s="26" t="s">
        <v>359</v>
      </c>
      <c r="FN102" s="26" t="s">
        <v>359</v>
      </c>
      <c r="FO102" s="28">
        <v>4408</v>
      </c>
      <c r="FP102" s="28">
        <v>1056</v>
      </c>
      <c r="FQ102">
        <v>418</v>
      </c>
      <c r="FR102">
        <v>90</v>
      </c>
      <c r="FS102">
        <v>47</v>
      </c>
      <c r="FT102">
        <v>15</v>
      </c>
      <c r="FU102">
        <v>3742</v>
      </c>
      <c r="FV102">
        <v>45</v>
      </c>
      <c r="FW102">
        <v>29</v>
      </c>
      <c r="FX102">
        <v>1</v>
      </c>
      <c r="FY102">
        <v>4561</v>
      </c>
      <c r="FZ102">
        <v>864</v>
      </c>
      <c r="GA102">
        <v>398</v>
      </c>
      <c r="GB102">
        <v>86</v>
      </c>
      <c r="GC102">
        <v>44</v>
      </c>
      <c r="GD102">
        <v>15</v>
      </c>
      <c r="GE102">
        <v>3937</v>
      </c>
      <c r="GF102">
        <v>42</v>
      </c>
      <c r="GG102">
        <v>18</v>
      </c>
      <c r="GH102">
        <v>0</v>
      </c>
      <c r="GI102">
        <v>471</v>
      </c>
      <c r="GJ102">
        <v>477</v>
      </c>
      <c r="GK102">
        <v>508</v>
      </c>
      <c r="GL102">
        <v>435</v>
      </c>
      <c r="GM102">
        <v>383</v>
      </c>
      <c r="GN102">
        <v>315</v>
      </c>
      <c r="GO102">
        <v>300</v>
      </c>
      <c r="GP102">
        <v>310</v>
      </c>
      <c r="GQ102">
        <v>276</v>
      </c>
      <c r="GR102">
        <v>227</v>
      </c>
      <c r="GS102">
        <v>176</v>
      </c>
      <c r="GT102">
        <v>132</v>
      </c>
      <c r="GU102">
        <v>101</v>
      </c>
      <c r="GV102">
        <v>107</v>
      </c>
      <c r="GW102">
        <v>74</v>
      </c>
      <c r="GX102">
        <v>58</v>
      </c>
      <c r="GY102">
        <v>31</v>
      </c>
      <c r="GZ102">
        <v>27</v>
      </c>
      <c r="HA102">
        <v>451</v>
      </c>
      <c r="HB102">
        <v>520</v>
      </c>
      <c r="HC102">
        <v>512</v>
      </c>
      <c r="HD102">
        <v>443</v>
      </c>
      <c r="HE102">
        <v>367</v>
      </c>
      <c r="HF102">
        <v>379</v>
      </c>
      <c r="HG102">
        <v>378</v>
      </c>
      <c r="HH102">
        <v>325</v>
      </c>
      <c r="HI102">
        <v>280</v>
      </c>
      <c r="HJ102">
        <v>220</v>
      </c>
      <c r="HK102">
        <v>173</v>
      </c>
      <c r="HL102">
        <v>137</v>
      </c>
      <c r="HM102">
        <v>124</v>
      </c>
      <c r="HN102">
        <v>104</v>
      </c>
      <c r="HO102">
        <v>68</v>
      </c>
      <c r="HP102">
        <v>41</v>
      </c>
      <c r="HQ102">
        <v>20</v>
      </c>
      <c r="HR102">
        <v>19</v>
      </c>
      <c r="HS102">
        <v>2077</v>
      </c>
      <c r="HT102">
        <v>0</v>
      </c>
      <c r="HU102">
        <v>0</v>
      </c>
      <c r="HV102">
        <v>0</v>
      </c>
      <c r="HW102">
        <v>1</v>
      </c>
      <c r="HX102">
        <v>0</v>
      </c>
      <c r="HY102">
        <v>1</v>
      </c>
      <c r="HZ102">
        <v>2</v>
      </c>
      <c r="IA102">
        <v>221</v>
      </c>
      <c r="IB102">
        <v>367</v>
      </c>
      <c r="IC102">
        <v>385</v>
      </c>
      <c r="ID102">
        <v>535</v>
      </c>
      <c r="IE102">
        <v>492</v>
      </c>
      <c r="IF102">
        <v>243</v>
      </c>
      <c r="IG102">
        <v>129</v>
      </c>
      <c r="IH102">
        <v>81</v>
      </c>
      <c r="II102">
        <v>112</v>
      </c>
      <c r="IJ102">
        <v>379</v>
      </c>
      <c r="IK102">
        <v>678</v>
      </c>
      <c r="IL102">
        <v>746</v>
      </c>
      <c r="IM102">
        <v>458</v>
      </c>
      <c r="IN102">
        <v>208</v>
      </c>
      <c r="IO102">
        <v>64</v>
      </c>
      <c r="IP102">
        <v>19</v>
      </c>
      <c r="IQ102">
        <v>8</v>
      </c>
      <c r="IR102">
        <v>5</v>
      </c>
      <c r="IS102">
        <v>1057</v>
      </c>
      <c r="IT102">
        <v>966</v>
      </c>
      <c r="IU102">
        <v>407</v>
      </c>
      <c r="IV102">
        <v>106</v>
      </c>
      <c r="IW102">
        <v>29</v>
      </c>
      <c r="IX102">
        <v>952</v>
      </c>
      <c r="IY102">
        <v>1203</v>
      </c>
      <c r="IZ102">
        <v>5</v>
      </c>
      <c r="JA102">
        <v>21</v>
      </c>
      <c r="JB102">
        <v>2</v>
      </c>
      <c r="JC102">
        <v>29</v>
      </c>
      <c r="JD102">
        <v>2504</v>
      </c>
      <c r="JE102">
        <v>61</v>
      </c>
      <c r="JF102">
        <v>0</v>
      </c>
      <c r="JH102" s="28">
        <v>2086.1617266924341</v>
      </c>
      <c r="JI102" s="28">
        <v>83.983966452996526</v>
      </c>
      <c r="JJ102">
        <v>212</v>
      </c>
      <c r="JK102">
        <v>2149</v>
      </c>
      <c r="JL102">
        <v>204</v>
      </c>
      <c r="JM102">
        <v>0</v>
      </c>
      <c r="JN102">
        <v>1599</v>
      </c>
      <c r="JO102">
        <v>749</v>
      </c>
      <c r="JP102">
        <v>257</v>
      </c>
      <c r="JQ102">
        <v>1084</v>
      </c>
      <c r="JR102">
        <v>2159</v>
      </c>
      <c r="JS102">
        <v>150</v>
      </c>
      <c r="JT102">
        <v>53</v>
      </c>
      <c r="JU102">
        <v>2067</v>
      </c>
      <c r="JV102">
        <v>278</v>
      </c>
      <c r="JW102" s="28"/>
      <c r="JX102" s="28"/>
      <c r="JY102" s="28"/>
      <c r="JZ102" s="28"/>
      <c r="KA102" s="28">
        <v>2525.9999957999999</v>
      </c>
      <c r="KB102">
        <v>9063</v>
      </c>
      <c r="KC102">
        <v>0</v>
      </c>
      <c r="KD102">
        <v>0</v>
      </c>
      <c r="KE102">
        <v>0</v>
      </c>
      <c r="KF102">
        <v>3</v>
      </c>
      <c r="KG102">
        <v>0</v>
      </c>
      <c r="KH102">
        <v>1</v>
      </c>
      <c r="KI102">
        <v>10</v>
      </c>
      <c r="KJ102">
        <v>911</v>
      </c>
      <c r="KK102">
        <v>9140</v>
      </c>
      <c r="KL102">
        <v>835</v>
      </c>
      <c r="KM102">
        <v>0</v>
      </c>
      <c r="KT102">
        <v>1514</v>
      </c>
      <c r="KU102">
        <v>1443</v>
      </c>
      <c r="KV102">
        <v>1246</v>
      </c>
      <c r="KW102">
        <v>138</v>
      </c>
      <c r="KX102">
        <v>45</v>
      </c>
      <c r="KZ102">
        <v>1229</v>
      </c>
      <c r="LA102">
        <v>116</v>
      </c>
      <c r="LB102">
        <v>30</v>
      </c>
      <c r="LD102">
        <v>871</v>
      </c>
      <c r="LE102">
        <v>913</v>
      </c>
      <c r="LF102">
        <v>416</v>
      </c>
      <c r="LG102">
        <v>616</v>
      </c>
      <c r="LH102">
        <v>7295</v>
      </c>
      <c r="LI102">
        <v>11</v>
      </c>
      <c r="LJ102">
        <v>745</v>
      </c>
      <c r="LK102">
        <v>139</v>
      </c>
      <c r="LL102">
        <v>911</v>
      </c>
      <c r="LM102">
        <v>2</v>
      </c>
      <c r="LN102">
        <v>429</v>
      </c>
      <c r="LO102">
        <v>131</v>
      </c>
      <c r="LP102">
        <v>7</v>
      </c>
      <c r="LQ102">
        <v>705</v>
      </c>
      <c r="LR102">
        <v>121</v>
      </c>
      <c r="LS102">
        <v>955</v>
      </c>
      <c r="LT102">
        <v>0</v>
      </c>
      <c r="LU102">
        <v>317</v>
      </c>
      <c r="LV102">
        <v>111</v>
      </c>
      <c r="LW102" s="44"/>
      <c r="LX102" s="44"/>
      <c r="LY102" s="44"/>
      <c r="LZ102">
        <v>2565</v>
      </c>
      <c r="MA102">
        <v>10886</v>
      </c>
      <c r="MB102">
        <v>10707</v>
      </c>
      <c r="MC102">
        <v>3196</v>
      </c>
      <c r="MD102" s="26">
        <v>14.146675999999999</v>
      </c>
      <c r="ME102" s="26">
        <v>10.976789</v>
      </c>
      <c r="MF102" s="26">
        <v>53.803974999999994</v>
      </c>
      <c r="MG102" s="26">
        <v>17.630853999999999</v>
      </c>
      <c r="MH102" s="26">
        <v>8.2651070000000004</v>
      </c>
      <c r="MI102" s="26">
        <v>3.0799219999999998</v>
      </c>
      <c r="MJ102" s="26">
        <v>3.0409359999999999</v>
      </c>
      <c r="MK102" s="26">
        <v>2.3781680000000001</v>
      </c>
      <c r="ML102" s="26">
        <v>1.5204679999999999</v>
      </c>
      <c r="MM102" s="26">
        <v>70.799219999999991</v>
      </c>
      <c r="MN102" s="26">
        <v>37.660818999999996</v>
      </c>
      <c r="MO102" s="26">
        <v>0.42255899999999996</v>
      </c>
      <c r="MP102" t="s">
        <v>1029</v>
      </c>
      <c r="MQ102">
        <v>643</v>
      </c>
      <c r="MR102">
        <v>63</v>
      </c>
    </row>
    <row r="103" spans="1:356">
      <c r="A103" t="s">
        <v>209</v>
      </c>
      <c r="B103" t="s">
        <v>210</v>
      </c>
      <c r="C103">
        <v>15890</v>
      </c>
      <c r="D103">
        <v>21045</v>
      </c>
      <c r="E103">
        <v>25627</v>
      </c>
      <c r="F103">
        <f t="shared" si="6"/>
        <v>4582</v>
      </c>
      <c r="G103" s="26">
        <f t="shared" si="7"/>
        <v>21.772392492278442</v>
      </c>
      <c r="H103">
        <v>12756</v>
      </c>
      <c r="I103">
        <v>12871</v>
      </c>
      <c r="J103">
        <v>22354</v>
      </c>
      <c r="K103">
        <v>3273</v>
      </c>
      <c r="L103">
        <v>1191</v>
      </c>
      <c r="M103">
        <v>1305</v>
      </c>
      <c r="N103">
        <v>1404</v>
      </c>
      <c r="O103">
        <v>1221</v>
      </c>
      <c r="P103">
        <v>1161</v>
      </c>
      <c r="Q103">
        <v>997</v>
      </c>
      <c r="R103">
        <v>923</v>
      </c>
      <c r="S103">
        <v>889</v>
      </c>
      <c r="T103">
        <v>780</v>
      </c>
      <c r="U103">
        <v>627</v>
      </c>
      <c r="V103">
        <v>591</v>
      </c>
      <c r="W103">
        <v>472</v>
      </c>
      <c r="X103">
        <v>338</v>
      </c>
      <c r="Y103">
        <v>856</v>
      </c>
      <c r="Z103">
        <v>1</v>
      </c>
      <c r="AA103">
        <v>1178</v>
      </c>
      <c r="AB103">
        <v>1353</v>
      </c>
      <c r="AC103">
        <v>1189</v>
      </c>
      <c r="AD103">
        <v>1121</v>
      </c>
      <c r="AE103">
        <v>1112</v>
      </c>
      <c r="AF103">
        <v>1037</v>
      </c>
      <c r="AG103">
        <v>1087</v>
      </c>
      <c r="AH103">
        <v>980</v>
      </c>
      <c r="AI103">
        <v>817</v>
      </c>
      <c r="AJ103">
        <v>692</v>
      </c>
      <c r="AK103">
        <v>617</v>
      </c>
      <c r="AL103">
        <v>460</v>
      </c>
      <c r="AM103">
        <v>400</v>
      </c>
      <c r="AN103">
        <v>826</v>
      </c>
      <c r="AO103">
        <v>2</v>
      </c>
      <c r="AP103">
        <v>25272</v>
      </c>
      <c r="AQ103">
        <v>323</v>
      </c>
      <c r="AR103">
        <v>9</v>
      </c>
      <c r="AS103">
        <v>12</v>
      </c>
      <c r="AT103">
        <v>11</v>
      </c>
      <c r="AU103">
        <v>151</v>
      </c>
      <c r="AV103">
        <v>77</v>
      </c>
      <c r="AW103">
        <v>74</v>
      </c>
      <c r="AX103">
        <v>81</v>
      </c>
      <c r="AY103">
        <v>45</v>
      </c>
      <c r="AZ103">
        <v>10</v>
      </c>
      <c r="BA103">
        <v>35</v>
      </c>
      <c r="BB103">
        <v>1</v>
      </c>
      <c r="BC103">
        <v>1</v>
      </c>
      <c r="BD103">
        <v>5</v>
      </c>
      <c r="BE103">
        <v>2</v>
      </c>
      <c r="BF103">
        <v>4</v>
      </c>
      <c r="BG103">
        <v>3</v>
      </c>
      <c r="BH103">
        <v>5</v>
      </c>
      <c r="BI103">
        <v>2</v>
      </c>
      <c r="BJ103">
        <v>10</v>
      </c>
      <c r="BK103">
        <v>13</v>
      </c>
      <c r="BL103">
        <v>6</v>
      </c>
      <c r="BM103">
        <v>12</v>
      </c>
      <c r="BN103">
        <v>11</v>
      </c>
      <c r="BO103">
        <v>13</v>
      </c>
      <c r="BP103">
        <v>6</v>
      </c>
      <c r="BQ103">
        <v>9</v>
      </c>
      <c r="BR103">
        <v>6</v>
      </c>
      <c r="BS103">
        <v>6</v>
      </c>
      <c r="BT103">
        <v>3</v>
      </c>
      <c r="BU103">
        <v>4</v>
      </c>
      <c r="BV103">
        <v>4</v>
      </c>
      <c r="BW103">
        <v>2</v>
      </c>
      <c r="BX103">
        <v>4</v>
      </c>
      <c r="BY103">
        <v>5</v>
      </c>
      <c r="BZ103">
        <v>4</v>
      </c>
      <c r="CA103">
        <v>0</v>
      </c>
      <c r="CB103">
        <v>8</v>
      </c>
      <c r="CC103">
        <v>2</v>
      </c>
      <c r="CD103">
        <v>74</v>
      </c>
      <c r="CE103">
        <v>68</v>
      </c>
      <c r="CF103">
        <v>3</v>
      </c>
      <c r="CG103">
        <v>6</v>
      </c>
      <c r="CH103">
        <v>4774</v>
      </c>
      <c r="CI103">
        <v>1588</v>
      </c>
      <c r="CJ103">
        <v>19816</v>
      </c>
      <c r="CK103">
        <v>5809</v>
      </c>
      <c r="CL103">
        <v>499</v>
      </c>
      <c r="CM103">
        <v>983</v>
      </c>
      <c r="CN103">
        <v>1161</v>
      </c>
      <c r="CO103">
        <v>1489</v>
      </c>
      <c r="CP103">
        <v>1034</v>
      </c>
      <c r="CQ103">
        <v>1196</v>
      </c>
      <c r="CR103">
        <v>4706</v>
      </c>
      <c r="CS103">
        <v>10529</v>
      </c>
      <c r="CT103">
        <v>2247</v>
      </c>
      <c r="CU103">
        <v>846</v>
      </c>
      <c r="CV103">
        <v>214</v>
      </c>
      <c r="CW103">
        <v>625</v>
      </c>
      <c r="CX103">
        <v>93</v>
      </c>
      <c r="CY103">
        <v>4110</v>
      </c>
      <c r="CZ103">
        <v>1690</v>
      </c>
      <c r="DA103">
        <v>39</v>
      </c>
      <c r="DB103">
        <v>499</v>
      </c>
      <c r="DC103">
        <v>23</v>
      </c>
      <c r="DD103">
        <v>859</v>
      </c>
      <c r="DE103">
        <v>529</v>
      </c>
      <c r="DF103">
        <v>0</v>
      </c>
      <c r="DG103">
        <v>1885</v>
      </c>
      <c r="DH103">
        <v>2783</v>
      </c>
      <c r="DI103">
        <v>0</v>
      </c>
      <c r="DJ103">
        <v>19571</v>
      </c>
      <c r="DK103">
        <v>0</v>
      </c>
      <c r="DL103">
        <v>0</v>
      </c>
      <c r="DM103">
        <v>82</v>
      </c>
      <c r="DN103">
        <v>4</v>
      </c>
      <c r="DO103">
        <v>0</v>
      </c>
      <c r="DP103">
        <v>3</v>
      </c>
      <c r="DQ103">
        <v>1</v>
      </c>
      <c r="DR103">
        <v>0</v>
      </c>
      <c r="DS103">
        <v>1</v>
      </c>
      <c r="DT103">
        <v>0</v>
      </c>
      <c r="DU103">
        <v>0</v>
      </c>
      <c r="DV103">
        <v>491</v>
      </c>
      <c r="DW103">
        <v>563</v>
      </c>
      <c r="DX103">
        <v>546</v>
      </c>
      <c r="DY103">
        <v>587</v>
      </c>
      <c r="DZ103">
        <v>310</v>
      </c>
      <c r="EA103">
        <v>254</v>
      </c>
      <c r="EB103">
        <v>165</v>
      </c>
      <c r="EC103">
        <v>149</v>
      </c>
      <c r="ED103">
        <v>95</v>
      </c>
      <c r="EE103">
        <v>129</v>
      </c>
      <c r="EF103">
        <v>171</v>
      </c>
      <c r="EG103">
        <v>198</v>
      </c>
      <c r="EH103">
        <v>130</v>
      </c>
      <c r="EI103">
        <v>111</v>
      </c>
      <c r="EJ103">
        <v>666</v>
      </c>
      <c r="EK103">
        <v>653</v>
      </c>
      <c r="EL103">
        <v>329</v>
      </c>
      <c r="EM103">
        <v>181</v>
      </c>
      <c r="EN103">
        <v>146</v>
      </c>
      <c r="EO103">
        <v>230</v>
      </c>
      <c r="EP103">
        <v>156</v>
      </c>
      <c r="EQ103">
        <v>7259</v>
      </c>
      <c r="ER103">
        <v>7030</v>
      </c>
      <c r="ES103">
        <v>229</v>
      </c>
      <c r="ET103">
        <v>2351</v>
      </c>
      <c r="EU103">
        <v>3572</v>
      </c>
      <c r="EV103">
        <v>3511</v>
      </c>
      <c r="EW103">
        <v>61</v>
      </c>
      <c r="EX103">
        <v>6247</v>
      </c>
      <c r="EY103" s="26">
        <v>18.186955999999999</v>
      </c>
      <c r="EZ103" s="26">
        <v>24.720244999999998</v>
      </c>
      <c r="FA103" s="26">
        <v>12.998756999999999</v>
      </c>
      <c r="FB103" s="26">
        <v>43.280208000000002</v>
      </c>
      <c r="FC103" s="26">
        <v>0.81383499999999998</v>
      </c>
      <c r="FD103">
        <v>929</v>
      </c>
      <c r="FE103">
        <v>2777</v>
      </c>
      <c r="FF103">
        <v>337</v>
      </c>
      <c r="FG103">
        <v>2250</v>
      </c>
      <c r="FH103">
        <v>9</v>
      </c>
      <c r="FI103">
        <v>2202</v>
      </c>
      <c r="FJ103">
        <v>2322</v>
      </c>
      <c r="FK103" s="26" t="s">
        <v>359</v>
      </c>
      <c r="FL103" s="26" t="s">
        <v>359</v>
      </c>
      <c r="FM103" s="26" t="s">
        <v>359</v>
      </c>
      <c r="FN103" s="26" t="s">
        <v>359</v>
      </c>
      <c r="FO103" s="28">
        <v>7567</v>
      </c>
      <c r="FP103" s="28">
        <v>5178</v>
      </c>
      <c r="FQ103">
        <v>1226</v>
      </c>
      <c r="FR103">
        <v>973</v>
      </c>
      <c r="FS103">
        <v>254</v>
      </c>
      <c r="FT103">
        <v>69</v>
      </c>
      <c r="FU103">
        <v>4736</v>
      </c>
      <c r="FV103">
        <v>208</v>
      </c>
      <c r="FW103">
        <v>90</v>
      </c>
      <c r="FX103">
        <v>11</v>
      </c>
      <c r="FY103">
        <v>7951</v>
      </c>
      <c r="FZ103">
        <v>4916</v>
      </c>
      <c r="GA103">
        <v>1068</v>
      </c>
      <c r="GB103">
        <v>1062</v>
      </c>
      <c r="GC103">
        <v>269</v>
      </c>
      <c r="GD103">
        <v>66</v>
      </c>
      <c r="GE103">
        <v>5161</v>
      </c>
      <c r="GF103">
        <v>209</v>
      </c>
      <c r="GG103">
        <v>118</v>
      </c>
      <c r="GH103">
        <v>4</v>
      </c>
      <c r="GI103">
        <v>739</v>
      </c>
      <c r="GJ103">
        <v>827</v>
      </c>
      <c r="GK103">
        <v>899</v>
      </c>
      <c r="GL103">
        <v>763</v>
      </c>
      <c r="GM103">
        <v>628</v>
      </c>
      <c r="GN103">
        <v>528</v>
      </c>
      <c r="GO103">
        <v>479</v>
      </c>
      <c r="GP103">
        <v>519</v>
      </c>
      <c r="GQ103">
        <v>446</v>
      </c>
      <c r="GR103">
        <v>363</v>
      </c>
      <c r="GS103">
        <v>347</v>
      </c>
      <c r="GT103">
        <v>282</v>
      </c>
      <c r="GU103">
        <v>196</v>
      </c>
      <c r="GV103">
        <v>187</v>
      </c>
      <c r="GW103">
        <v>149</v>
      </c>
      <c r="GX103">
        <v>111</v>
      </c>
      <c r="GY103">
        <v>53</v>
      </c>
      <c r="GZ103">
        <v>51</v>
      </c>
      <c r="HA103">
        <v>717</v>
      </c>
      <c r="HB103">
        <v>835</v>
      </c>
      <c r="HC103">
        <v>754</v>
      </c>
      <c r="HD103">
        <v>698</v>
      </c>
      <c r="HE103">
        <v>659</v>
      </c>
      <c r="HF103">
        <v>609</v>
      </c>
      <c r="HG103">
        <v>648</v>
      </c>
      <c r="HH103">
        <v>654</v>
      </c>
      <c r="HI103">
        <v>513</v>
      </c>
      <c r="HJ103">
        <v>438</v>
      </c>
      <c r="HK103">
        <v>384</v>
      </c>
      <c r="HL103">
        <v>276</v>
      </c>
      <c r="HM103">
        <v>255</v>
      </c>
      <c r="HN103">
        <v>176</v>
      </c>
      <c r="HO103">
        <v>130</v>
      </c>
      <c r="HP103">
        <v>90</v>
      </c>
      <c r="HQ103">
        <v>64</v>
      </c>
      <c r="HR103">
        <v>51</v>
      </c>
      <c r="HS103">
        <v>5529</v>
      </c>
      <c r="HT103">
        <v>3</v>
      </c>
      <c r="HU103">
        <v>47</v>
      </c>
      <c r="HV103">
        <v>0</v>
      </c>
      <c r="HW103">
        <v>8</v>
      </c>
      <c r="HX103">
        <v>0</v>
      </c>
      <c r="HY103">
        <v>2</v>
      </c>
      <c r="HZ103">
        <v>4</v>
      </c>
      <c r="IA103">
        <v>494</v>
      </c>
      <c r="IB103">
        <v>982</v>
      </c>
      <c r="IC103">
        <v>1161</v>
      </c>
      <c r="ID103">
        <v>1486</v>
      </c>
      <c r="IE103">
        <v>1033</v>
      </c>
      <c r="IF103">
        <v>587</v>
      </c>
      <c r="IG103">
        <v>264</v>
      </c>
      <c r="IH103">
        <v>157</v>
      </c>
      <c r="II103">
        <v>188</v>
      </c>
      <c r="IJ103">
        <v>1647</v>
      </c>
      <c r="IK103">
        <v>1733</v>
      </c>
      <c r="IL103">
        <v>1556</v>
      </c>
      <c r="IM103">
        <v>872</v>
      </c>
      <c r="IN103">
        <v>360</v>
      </c>
      <c r="IO103">
        <v>116</v>
      </c>
      <c r="IP103">
        <v>39</v>
      </c>
      <c r="IQ103">
        <v>18</v>
      </c>
      <c r="IR103">
        <v>10</v>
      </c>
      <c r="IS103">
        <v>3344</v>
      </c>
      <c r="IT103">
        <v>2084</v>
      </c>
      <c r="IU103">
        <v>709</v>
      </c>
      <c r="IV103">
        <v>173</v>
      </c>
      <c r="IW103">
        <v>41</v>
      </c>
      <c r="IX103">
        <v>3201</v>
      </c>
      <c r="IY103">
        <v>2221</v>
      </c>
      <c r="IZ103">
        <v>1</v>
      </c>
      <c r="JA103">
        <v>83</v>
      </c>
      <c r="JB103">
        <v>208</v>
      </c>
      <c r="JC103">
        <v>9</v>
      </c>
      <c r="JD103">
        <v>6266</v>
      </c>
      <c r="JE103">
        <v>85</v>
      </c>
      <c r="JF103">
        <v>1</v>
      </c>
      <c r="JH103" s="28">
        <v>4489.7514100031813</v>
      </c>
      <c r="JI103" s="28">
        <v>220.33934507502218</v>
      </c>
      <c r="JJ103">
        <v>398</v>
      </c>
      <c r="JK103">
        <v>5134</v>
      </c>
      <c r="JL103">
        <v>819</v>
      </c>
      <c r="JM103">
        <v>1</v>
      </c>
      <c r="JN103">
        <v>5220</v>
      </c>
      <c r="JO103">
        <v>3202</v>
      </c>
      <c r="JP103">
        <v>1147</v>
      </c>
      <c r="JQ103">
        <v>3592</v>
      </c>
      <c r="JR103">
        <v>5525</v>
      </c>
      <c r="JS103">
        <v>1281</v>
      </c>
      <c r="JT103">
        <v>605</v>
      </c>
      <c r="JU103">
        <v>5264</v>
      </c>
      <c r="JV103">
        <v>1738</v>
      </c>
      <c r="JW103" s="28"/>
      <c r="JX103" s="28"/>
      <c r="JY103" s="28"/>
      <c r="JZ103" s="28"/>
      <c r="KA103" s="28">
        <v>6257.9999915199996</v>
      </c>
      <c r="KB103">
        <v>22597</v>
      </c>
      <c r="KC103">
        <v>4</v>
      </c>
      <c r="KD103">
        <v>109</v>
      </c>
      <c r="KE103">
        <v>0</v>
      </c>
      <c r="KF103">
        <v>19</v>
      </c>
      <c r="KG103">
        <v>0</v>
      </c>
      <c r="KH103">
        <v>5</v>
      </c>
      <c r="KI103">
        <v>18</v>
      </c>
      <c r="KJ103">
        <v>1581</v>
      </c>
      <c r="KK103">
        <v>20951</v>
      </c>
      <c r="KL103">
        <v>3064</v>
      </c>
      <c r="KM103">
        <v>5</v>
      </c>
      <c r="KT103">
        <v>3979</v>
      </c>
      <c r="KU103">
        <v>3671</v>
      </c>
      <c r="KV103">
        <v>2952</v>
      </c>
      <c r="KW103">
        <v>512</v>
      </c>
      <c r="KX103">
        <v>420</v>
      </c>
      <c r="KZ103">
        <v>2834</v>
      </c>
      <c r="LA103">
        <v>419</v>
      </c>
      <c r="LB103">
        <v>336</v>
      </c>
      <c r="LD103">
        <v>2116</v>
      </c>
      <c r="LE103">
        <v>1977</v>
      </c>
      <c r="LF103">
        <v>932</v>
      </c>
      <c r="LG103">
        <v>1180</v>
      </c>
      <c r="LH103">
        <v>18004</v>
      </c>
      <c r="LI103">
        <v>8</v>
      </c>
      <c r="LJ103">
        <v>1076</v>
      </c>
      <c r="LK103">
        <v>284</v>
      </c>
      <c r="LL103">
        <v>1729</v>
      </c>
      <c r="LM103">
        <v>6</v>
      </c>
      <c r="LN103">
        <v>1495</v>
      </c>
      <c r="LO103">
        <v>1114</v>
      </c>
      <c r="LP103">
        <v>11</v>
      </c>
      <c r="LQ103">
        <v>1361</v>
      </c>
      <c r="LR103">
        <v>266</v>
      </c>
      <c r="LS103">
        <v>2027</v>
      </c>
      <c r="LT103">
        <v>8</v>
      </c>
      <c r="LU103">
        <v>1292</v>
      </c>
      <c r="LV103">
        <v>961</v>
      </c>
      <c r="LW103" s="44"/>
      <c r="LX103" s="44"/>
      <c r="LY103" s="44"/>
      <c r="LZ103">
        <v>6352</v>
      </c>
      <c r="MA103">
        <v>25601</v>
      </c>
      <c r="MB103">
        <v>24049</v>
      </c>
      <c r="MC103">
        <v>87</v>
      </c>
      <c r="MD103" s="26">
        <v>11.730727</v>
      </c>
      <c r="ME103" s="26">
        <v>6.851343</v>
      </c>
      <c r="MF103" s="26">
        <v>39.057986999999997</v>
      </c>
      <c r="MG103" s="26">
        <v>39.388145000000002</v>
      </c>
      <c r="MH103" s="26">
        <v>6.2657429999999996</v>
      </c>
      <c r="MI103" s="26">
        <v>1.353904</v>
      </c>
      <c r="MJ103" s="26">
        <v>7.493703</v>
      </c>
      <c r="MK103" s="26">
        <v>1.3381609999999999</v>
      </c>
      <c r="ML103" s="26">
        <v>1.479849</v>
      </c>
      <c r="MM103" s="26">
        <v>49.590679999999999</v>
      </c>
      <c r="MN103" s="26">
        <v>17.821158999999998</v>
      </c>
      <c r="MO103" s="26">
        <v>-0.28114800000000001</v>
      </c>
      <c r="MP103" t="s">
        <v>1027</v>
      </c>
      <c r="MQ103">
        <v>1293</v>
      </c>
      <c r="MR103">
        <v>115</v>
      </c>
    </row>
    <row r="104" spans="1:356">
      <c r="A104" t="s">
        <v>211</v>
      </c>
      <c r="B104" t="s">
        <v>212</v>
      </c>
      <c r="C104">
        <v>30251</v>
      </c>
      <c r="D104">
        <v>35056</v>
      </c>
      <c r="E104">
        <v>41672</v>
      </c>
      <c r="F104">
        <f t="shared" si="6"/>
        <v>6616</v>
      </c>
      <c r="G104" s="26">
        <f t="shared" si="7"/>
        <v>18.872660885440439</v>
      </c>
      <c r="H104">
        <v>20481</v>
      </c>
      <c r="I104">
        <v>21191</v>
      </c>
      <c r="J104">
        <v>22581</v>
      </c>
      <c r="K104">
        <v>19091</v>
      </c>
      <c r="L104">
        <v>2258</v>
      </c>
      <c r="M104">
        <v>2423</v>
      </c>
      <c r="N104">
        <v>2194</v>
      </c>
      <c r="O104">
        <v>1982</v>
      </c>
      <c r="P104">
        <v>1807</v>
      </c>
      <c r="Q104">
        <v>1655</v>
      </c>
      <c r="R104">
        <v>1361</v>
      </c>
      <c r="S104">
        <v>1214</v>
      </c>
      <c r="T104">
        <v>1221</v>
      </c>
      <c r="U104">
        <v>994</v>
      </c>
      <c r="V104">
        <v>881</v>
      </c>
      <c r="W104">
        <v>707</v>
      </c>
      <c r="X104">
        <v>554</v>
      </c>
      <c r="Y104">
        <v>1229</v>
      </c>
      <c r="Z104">
        <v>1</v>
      </c>
      <c r="AA104">
        <v>2181</v>
      </c>
      <c r="AB104">
        <v>2339</v>
      </c>
      <c r="AC104">
        <v>2001</v>
      </c>
      <c r="AD104">
        <v>2017</v>
      </c>
      <c r="AE104">
        <v>1967</v>
      </c>
      <c r="AF104">
        <v>1792</v>
      </c>
      <c r="AG104">
        <v>1573</v>
      </c>
      <c r="AH104">
        <v>1445</v>
      </c>
      <c r="AI104">
        <v>1285</v>
      </c>
      <c r="AJ104">
        <v>1121</v>
      </c>
      <c r="AK104">
        <v>939</v>
      </c>
      <c r="AL104">
        <v>693</v>
      </c>
      <c r="AM104">
        <v>613</v>
      </c>
      <c r="AN104">
        <v>1224</v>
      </c>
      <c r="AO104">
        <v>1</v>
      </c>
      <c r="AP104">
        <v>35287</v>
      </c>
      <c r="AQ104">
        <v>1097</v>
      </c>
      <c r="AR104">
        <v>47</v>
      </c>
      <c r="AS104">
        <v>5222</v>
      </c>
      <c r="AT104">
        <v>19</v>
      </c>
      <c r="AU104">
        <v>127</v>
      </c>
      <c r="AV104">
        <v>68</v>
      </c>
      <c r="AW104">
        <v>59</v>
      </c>
      <c r="AX104">
        <v>113</v>
      </c>
      <c r="AY104">
        <v>83</v>
      </c>
      <c r="AZ104">
        <v>41</v>
      </c>
      <c r="BA104">
        <v>42</v>
      </c>
      <c r="BB104">
        <v>2</v>
      </c>
      <c r="BC104">
        <v>2</v>
      </c>
      <c r="BD104">
        <v>3</v>
      </c>
      <c r="BE104">
        <v>4</v>
      </c>
      <c r="BF104">
        <v>3</v>
      </c>
      <c r="BG104">
        <v>2</v>
      </c>
      <c r="BH104">
        <v>8</v>
      </c>
      <c r="BI104">
        <v>8</v>
      </c>
      <c r="BJ104">
        <v>7</v>
      </c>
      <c r="BK104">
        <v>10</v>
      </c>
      <c r="BL104">
        <v>11</v>
      </c>
      <c r="BM104">
        <v>9</v>
      </c>
      <c r="BN104">
        <v>5</v>
      </c>
      <c r="BO104">
        <v>2</v>
      </c>
      <c r="BP104">
        <v>7</v>
      </c>
      <c r="BQ104">
        <v>4</v>
      </c>
      <c r="BR104">
        <v>6</v>
      </c>
      <c r="BS104">
        <v>3</v>
      </c>
      <c r="BT104">
        <v>3</v>
      </c>
      <c r="BU104">
        <v>3</v>
      </c>
      <c r="BV104">
        <v>3</v>
      </c>
      <c r="BW104">
        <v>3</v>
      </c>
      <c r="BX104">
        <v>4</v>
      </c>
      <c r="BY104">
        <v>0</v>
      </c>
      <c r="BZ104">
        <v>1</v>
      </c>
      <c r="CA104">
        <v>3</v>
      </c>
      <c r="CB104">
        <v>5</v>
      </c>
      <c r="CC104">
        <v>6</v>
      </c>
      <c r="CD104">
        <v>66</v>
      </c>
      <c r="CE104">
        <v>58</v>
      </c>
      <c r="CF104">
        <v>2</v>
      </c>
      <c r="CG104">
        <v>1</v>
      </c>
      <c r="CH104">
        <v>6863</v>
      </c>
      <c r="CI104">
        <v>4178</v>
      </c>
      <c r="CJ104">
        <v>26161</v>
      </c>
      <c r="CK104">
        <v>15426</v>
      </c>
      <c r="CL104">
        <v>1332</v>
      </c>
      <c r="CM104">
        <v>1850</v>
      </c>
      <c r="CN104">
        <v>2186</v>
      </c>
      <c r="CO104">
        <v>2223</v>
      </c>
      <c r="CP104">
        <v>1595</v>
      </c>
      <c r="CQ104">
        <v>1855</v>
      </c>
      <c r="CR104">
        <v>6913</v>
      </c>
      <c r="CS104">
        <v>16515</v>
      </c>
      <c r="CT104">
        <v>3575</v>
      </c>
      <c r="CU104">
        <v>918</v>
      </c>
      <c r="CV104">
        <v>465</v>
      </c>
      <c r="CW104">
        <v>1575</v>
      </c>
      <c r="CX104">
        <v>585</v>
      </c>
      <c r="CY104">
        <v>6427</v>
      </c>
      <c r="CZ104">
        <v>2917</v>
      </c>
      <c r="DA104">
        <v>292</v>
      </c>
      <c r="DB104">
        <v>1332</v>
      </c>
      <c r="DC104">
        <v>73</v>
      </c>
      <c r="DD104">
        <v>1452</v>
      </c>
      <c r="DE104">
        <v>1802</v>
      </c>
      <c r="DF104">
        <v>3631</v>
      </c>
      <c r="DG104">
        <v>12206</v>
      </c>
      <c r="DH104">
        <v>0</v>
      </c>
      <c r="DI104">
        <v>5096</v>
      </c>
      <c r="DJ104">
        <v>17485</v>
      </c>
      <c r="DK104">
        <v>0</v>
      </c>
      <c r="DL104">
        <v>0</v>
      </c>
      <c r="DM104">
        <v>100</v>
      </c>
      <c r="DN104">
        <v>11</v>
      </c>
      <c r="DO104">
        <v>10</v>
      </c>
      <c r="DP104">
        <v>13</v>
      </c>
      <c r="DQ104">
        <v>0</v>
      </c>
      <c r="DR104">
        <v>1</v>
      </c>
      <c r="DS104">
        <v>1</v>
      </c>
      <c r="DT104">
        <v>0</v>
      </c>
      <c r="DU104">
        <v>0</v>
      </c>
      <c r="DV104">
        <v>890</v>
      </c>
      <c r="DW104">
        <v>1072</v>
      </c>
      <c r="DX104">
        <v>1243</v>
      </c>
      <c r="DY104">
        <v>1533</v>
      </c>
      <c r="DZ104">
        <v>537</v>
      </c>
      <c r="EA104">
        <v>454</v>
      </c>
      <c r="EB104">
        <v>493</v>
      </c>
      <c r="EC104">
        <v>434</v>
      </c>
      <c r="ED104">
        <v>355</v>
      </c>
      <c r="EE104">
        <v>363</v>
      </c>
      <c r="EF104">
        <v>396</v>
      </c>
      <c r="EG104">
        <v>469</v>
      </c>
      <c r="EH104">
        <v>216</v>
      </c>
      <c r="EI104">
        <v>172</v>
      </c>
      <c r="EJ104">
        <v>1130</v>
      </c>
      <c r="EK104">
        <v>1614</v>
      </c>
      <c r="EL104">
        <v>545</v>
      </c>
      <c r="EM104">
        <v>435</v>
      </c>
      <c r="EN104">
        <v>356</v>
      </c>
      <c r="EO104">
        <v>447</v>
      </c>
      <c r="EP104">
        <v>183</v>
      </c>
      <c r="EQ104">
        <v>12317</v>
      </c>
      <c r="ER104">
        <v>12136</v>
      </c>
      <c r="ES104">
        <v>181</v>
      </c>
      <c r="ET104">
        <v>2516</v>
      </c>
      <c r="EU104">
        <v>8431</v>
      </c>
      <c r="EV104">
        <v>8375</v>
      </c>
      <c r="EW104">
        <v>56</v>
      </c>
      <c r="EX104">
        <v>7378</v>
      </c>
      <c r="EY104" s="26">
        <v>34.931967999999998</v>
      </c>
      <c r="EZ104" s="26">
        <v>8.9182269999999999</v>
      </c>
      <c r="FA104" s="26">
        <v>18.961335999999999</v>
      </c>
      <c r="FB104" s="26">
        <v>36.723697000000001</v>
      </c>
      <c r="FC104" s="26">
        <v>0.46477200000000002</v>
      </c>
      <c r="FD104">
        <v>3938</v>
      </c>
      <c r="FE104">
        <v>6526</v>
      </c>
      <c r="FF104">
        <v>711</v>
      </c>
      <c r="FG104">
        <v>4126</v>
      </c>
      <c r="FH104">
        <v>14</v>
      </c>
      <c r="FI104">
        <v>3924</v>
      </c>
      <c r="FJ104">
        <v>1494</v>
      </c>
      <c r="FK104" s="26" t="s">
        <v>359</v>
      </c>
      <c r="FL104" s="26" t="s">
        <v>359</v>
      </c>
      <c r="FM104" s="26" t="s">
        <v>359</v>
      </c>
      <c r="FN104" s="26" t="s">
        <v>359</v>
      </c>
      <c r="FO104" s="28">
        <v>9792</v>
      </c>
      <c r="FP104" s="28">
        <v>10675</v>
      </c>
      <c r="FQ104">
        <v>2283</v>
      </c>
      <c r="FR104">
        <v>323</v>
      </c>
      <c r="FS104">
        <v>26</v>
      </c>
      <c r="FT104">
        <v>176</v>
      </c>
      <c r="FU104">
        <v>6779</v>
      </c>
      <c r="FV104">
        <v>89</v>
      </c>
      <c r="FW104">
        <v>37</v>
      </c>
      <c r="FX104">
        <v>14</v>
      </c>
      <c r="FY104">
        <v>11102</v>
      </c>
      <c r="FZ104">
        <v>10082</v>
      </c>
      <c r="GA104">
        <v>2386</v>
      </c>
      <c r="GB104">
        <v>401</v>
      </c>
      <c r="GC104">
        <v>38</v>
      </c>
      <c r="GD104">
        <v>137</v>
      </c>
      <c r="GE104">
        <v>7941</v>
      </c>
      <c r="GF104">
        <v>84</v>
      </c>
      <c r="GG104">
        <v>53</v>
      </c>
      <c r="GH104">
        <v>7</v>
      </c>
      <c r="GI104">
        <v>1035</v>
      </c>
      <c r="GJ104">
        <v>1277</v>
      </c>
      <c r="GK104">
        <v>1171</v>
      </c>
      <c r="GL104">
        <v>985</v>
      </c>
      <c r="GM104">
        <v>732</v>
      </c>
      <c r="GN104">
        <v>705</v>
      </c>
      <c r="GO104">
        <v>615</v>
      </c>
      <c r="GP104">
        <v>546</v>
      </c>
      <c r="GQ104">
        <v>538</v>
      </c>
      <c r="GR104">
        <v>459</v>
      </c>
      <c r="GS104">
        <v>389</v>
      </c>
      <c r="GT104">
        <v>352</v>
      </c>
      <c r="GU104">
        <v>288</v>
      </c>
      <c r="GV104">
        <v>252</v>
      </c>
      <c r="GW104">
        <v>164</v>
      </c>
      <c r="GX104">
        <v>134</v>
      </c>
      <c r="GY104">
        <v>84</v>
      </c>
      <c r="GZ104">
        <v>66</v>
      </c>
      <c r="HA104">
        <v>1013</v>
      </c>
      <c r="HB104">
        <v>1228</v>
      </c>
      <c r="HC104">
        <v>1068</v>
      </c>
      <c r="HD104">
        <v>1002</v>
      </c>
      <c r="HE104">
        <v>957</v>
      </c>
      <c r="HF104">
        <v>934</v>
      </c>
      <c r="HG104">
        <v>797</v>
      </c>
      <c r="HH104">
        <v>761</v>
      </c>
      <c r="HI104">
        <v>680</v>
      </c>
      <c r="HJ104">
        <v>587</v>
      </c>
      <c r="HK104">
        <v>533</v>
      </c>
      <c r="HL104">
        <v>398</v>
      </c>
      <c r="HM104">
        <v>365</v>
      </c>
      <c r="HN104">
        <v>268</v>
      </c>
      <c r="HO104">
        <v>204</v>
      </c>
      <c r="HP104">
        <v>133</v>
      </c>
      <c r="HQ104">
        <v>97</v>
      </c>
      <c r="HR104">
        <v>77</v>
      </c>
      <c r="HS104">
        <v>7408</v>
      </c>
      <c r="HT104">
        <v>8</v>
      </c>
      <c r="HU104">
        <v>561</v>
      </c>
      <c r="HV104">
        <v>0</v>
      </c>
      <c r="HW104">
        <v>71</v>
      </c>
      <c r="HX104">
        <v>0</v>
      </c>
      <c r="HY104">
        <v>23</v>
      </c>
      <c r="HZ104">
        <v>2</v>
      </c>
      <c r="IA104">
        <v>1307</v>
      </c>
      <c r="IB104">
        <v>1833</v>
      </c>
      <c r="IC104">
        <v>2165</v>
      </c>
      <c r="ID104">
        <v>2214</v>
      </c>
      <c r="IE104">
        <v>1586</v>
      </c>
      <c r="IF104">
        <v>907</v>
      </c>
      <c r="IG104">
        <v>490</v>
      </c>
      <c r="IH104">
        <v>205</v>
      </c>
      <c r="II104">
        <v>240</v>
      </c>
      <c r="IJ104">
        <v>3148</v>
      </c>
      <c r="IK104">
        <v>2634</v>
      </c>
      <c r="IL104">
        <v>2450</v>
      </c>
      <c r="IM104">
        <v>1644</v>
      </c>
      <c r="IN104">
        <v>718</v>
      </c>
      <c r="IO104">
        <v>247</v>
      </c>
      <c r="IP104">
        <v>57</v>
      </c>
      <c r="IQ104">
        <v>30</v>
      </c>
      <c r="IR104">
        <v>17</v>
      </c>
      <c r="IS104">
        <v>5998</v>
      </c>
      <c r="IT104">
        <v>3451</v>
      </c>
      <c r="IU104">
        <v>1171</v>
      </c>
      <c r="IV104">
        <v>267</v>
      </c>
      <c r="IW104">
        <v>58</v>
      </c>
      <c r="IX104">
        <v>4718</v>
      </c>
      <c r="IY104">
        <v>1556</v>
      </c>
      <c r="IZ104">
        <v>2</v>
      </c>
      <c r="JA104">
        <v>159</v>
      </c>
      <c r="JB104">
        <v>2</v>
      </c>
      <c r="JC104">
        <v>13</v>
      </c>
      <c r="JD104">
        <v>10291</v>
      </c>
      <c r="JE104">
        <v>654</v>
      </c>
      <c r="JF104">
        <v>2</v>
      </c>
      <c r="JH104" s="28">
        <v>8345.2657337402034</v>
      </c>
      <c r="JI104" s="28">
        <v>435.32211700262121</v>
      </c>
      <c r="JJ104">
        <v>1777</v>
      </c>
      <c r="JK104">
        <v>8460</v>
      </c>
      <c r="JL104">
        <v>708</v>
      </c>
      <c r="JM104">
        <v>2</v>
      </c>
      <c r="JN104">
        <v>8044</v>
      </c>
      <c r="JO104">
        <v>4482</v>
      </c>
      <c r="JP104">
        <v>1711</v>
      </c>
      <c r="JQ104">
        <v>5657</v>
      </c>
      <c r="JR104">
        <v>8812</v>
      </c>
      <c r="JS104">
        <v>885</v>
      </c>
      <c r="JT104">
        <v>612</v>
      </c>
      <c r="JU104">
        <v>8342</v>
      </c>
      <c r="JV104">
        <v>2802</v>
      </c>
      <c r="JW104" s="28"/>
      <c r="JX104" s="28"/>
      <c r="JY104" s="28"/>
      <c r="JZ104" s="28"/>
      <c r="KA104" s="28">
        <v>10715.000010060001</v>
      </c>
      <c r="KB104">
        <v>29077</v>
      </c>
      <c r="KC104">
        <v>18</v>
      </c>
      <c r="KD104">
        <v>1713</v>
      </c>
      <c r="KE104">
        <v>0</v>
      </c>
      <c r="KF104">
        <v>212</v>
      </c>
      <c r="KG104">
        <v>0</v>
      </c>
      <c r="KH104">
        <v>81</v>
      </c>
      <c r="KI104">
        <v>4</v>
      </c>
      <c r="KJ104">
        <v>6750</v>
      </c>
      <c r="KK104">
        <v>31900</v>
      </c>
      <c r="KL104">
        <v>2642</v>
      </c>
      <c r="KM104">
        <v>2</v>
      </c>
      <c r="KT104">
        <v>5228</v>
      </c>
      <c r="KU104">
        <v>5057</v>
      </c>
      <c r="KV104">
        <v>4318</v>
      </c>
      <c r="KW104">
        <v>523</v>
      </c>
      <c r="KX104">
        <v>165</v>
      </c>
      <c r="KZ104">
        <v>4162</v>
      </c>
      <c r="LA104">
        <v>521</v>
      </c>
      <c r="LB104">
        <v>171</v>
      </c>
      <c r="LD104">
        <v>3269</v>
      </c>
      <c r="LE104">
        <v>3137</v>
      </c>
      <c r="LF104">
        <v>1698</v>
      </c>
      <c r="LG104">
        <v>2334</v>
      </c>
      <c r="LH104">
        <v>28274</v>
      </c>
      <c r="LI104">
        <v>361</v>
      </c>
      <c r="LJ104">
        <v>2431</v>
      </c>
      <c r="LK104">
        <v>438</v>
      </c>
      <c r="LL104">
        <v>2738</v>
      </c>
      <c r="LM104">
        <v>8</v>
      </c>
      <c r="LN104">
        <v>2236</v>
      </c>
      <c r="LO104">
        <v>496</v>
      </c>
      <c r="LP104">
        <v>392</v>
      </c>
      <c r="LQ104">
        <v>2545</v>
      </c>
      <c r="LR104">
        <v>405</v>
      </c>
      <c r="LS104">
        <v>3180</v>
      </c>
      <c r="LT104">
        <v>8</v>
      </c>
      <c r="LU104">
        <v>2079</v>
      </c>
      <c r="LV104">
        <v>448</v>
      </c>
      <c r="LW104" s="44"/>
      <c r="LX104" s="44"/>
      <c r="LY104" s="44"/>
      <c r="LZ104">
        <v>10947</v>
      </c>
      <c r="MA104">
        <v>41294</v>
      </c>
      <c r="MB104">
        <v>38797</v>
      </c>
      <c r="MC104">
        <v>138</v>
      </c>
      <c r="MD104" s="26">
        <v>14.260451</v>
      </c>
      <c r="ME104" s="26">
        <v>18.110236</v>
      </c>
      <c r="MF104" s="26">
        <v>53.317535999999997</v>
      </c>
      <c r="MG104" s="26">
        <v>49.810423999999998</v>
      </c>
      <c r="MH104" s="26">
        <v>16.232758</v>
      </c>
      <c r="MI104" s="26">
        <v>2.6673969999999998</v>
      </c>
      <c r="MJ104" s="26">
        <v>17.749154999999998</v>
      </c>
      <c r="MK104" s="26">
        <v>5.97424</v>
      </c>
      <c r="ML104" s="26">
        <v>2.1193019999999998</v>
      </c>
      <c r="MM104" s="26">
        <v>59.057275999999995</v>
      </c>
      <c r="MN104" s="26">
        <v>26.518680999999997</v>
      </c>
      <c r="MO104" s="26">
        <v>0.60353400000000001</v>
      </c>
      <c r="MP104" t="s">
        <v>1029</v>
      </c>
      <c r="MQ104">
        <v>561</v>
      </c>
      <c r="MR104">
        <v>54</v>
      </c>
    </row>
    <row r="105" spans="1:356">
      <c r="A105" t="s">
        <v>213</v>
      </c>
      <c r="B105" t="s">
        <v>214</v>
      </c>
      <c r="C105">
        <v>1936</v>
      </c>
      <c r="D105">
        <v>2235</v>
      </c>
      <c r="E105">
        <v>2308</v>
      </c>
      <c r="F105">
        <f t="shared" si="6"/>
        <v>73</v>
      </c>
      <c r="G105" s="26">
        <f t="shared" si="7"/>
        <v>3.2662192393735978</v>
      </c>
      <c r="H105">
        <v>1175</v>
      </c>
      <c r="I105">
        <v>1133</v>
      </c>
      <c r="J105">
        <v>0</v>
      </c>
      <c r="K105">
        <v>2308</v>
      </c>
      <c r="L105">
        <v>134</v>
      </c>
      <c r="M105">
        <v>130</v>
      </c>
      <c r="N105">
        <v>125</v>
      </c>
      <c r="O105">
        <v>113</v>
      </c>
      <c r="P105">
        <v>66</v>
      </c>
      <c r="Q105">
        <v>72</v>
      </c>
      <c r="R105">
        <v>78</v>
      </c>
      <c r="S105">
        <v>80</v>
      </c>
      <c r="T105">
        <v>80</v>
      </c>
      <c r="U105">
        <v>53</v>
      </c>
      <c r="V105">
        <v>64</v>
      </c>
      <c r="W105">
        <v>53</v>
      </c>
      <c r="X105">
        <v>35</v>
      </c>
      <c r="Y105">
        <v>92</v>
      </c>
      <c r="Z105">
        <v>0</v>
      </c>
      <c r="AA105">
        <v>119</v>
      </c>
      <c r="AB105">
        <v>125</v>
      </c>
      <c r="AC105">
        <v>121</v>
      </c>
      <c r="AD105">
        <v>69</v>
      </c>
      <c r="AE105">
        <v>83</v>
      </c>
      <c r="AF105">
        <v>98</v>
      </c>
      <c r="AG105">
        <v>93</v>
      </c>
      <c r="AH105">
        <v>75</v>
      </c>
      <c r="AI105">
        <v>58</v>
      </c>
      <c r="AJ105">
        <v>67</v>
      </c>
      <c r="AK105">
        <v>72</v>
      </c>
      <c r="AL105">
        <v>38</v>
      </c>
      <c r="AM105">
        <v>35</v>
      </c>
      <c r="AN105">
        <v>80</v>
      </c>
      <c r="AO105">
        <v>0</v>
      </c>
      <c r="AP105">
        <v>2197</v>
      </c>
      <c r="AQ105">
        <v>110</v>
      </c>
      <c r="AR105">
        <v>1</v>
      </c>
      <c r="AS105">
        <v>0</v>
      </c>
      <c r="AT105">
        <v>0</v>
      </c>
      <c r="AU105">
        <v>12</v>
      </c>
      <c r="AV105">
        <v>6</v>
      </c>
      <c r="AW105">
        <v>6</v>
      </c>
      <c r="AX105">
        <v>16</v>
      </c>
      <c r="AY105">
        <v>7</v>
      </c>
      <c r="AZ105">
        <v>7</v>
      </c>
      <c r="BA105">
        <v>0</v>
      </c>
      <c r="BB105">
        <v>0</v>
      </c>
      <c r="BC105">
        <v>0</v>
      </c>
      <c r="BD105">
        <v>0</v>
      </c>
      <c r="BE105">
        <v>0</v>
      </c>
      <c r="BF105">
        <v>0</v>
      </c>
      <c r="BG105">
        <v>0</v>
      </c>
      <c r="BH105">
        <v>0</v>
      </c>
      <c r="BI105">
        <v>0</v>
      </c>
      <c r="BJ105">
        <v>0</v>
      </c>
      <c r="BK105">
        <v>0</v>
      </c>
      <c r="BL105">
        <v>0</v>
      </c>
      <c r="BM105">
        <v>0</v>
      </c>
      <c r="BN105">
        <v>1</v>
      </c>
      <c r="BO105">
        <v>2</v>
      </c>
      <c r="BP105">
        <v>0</v>
      </c>
      <c r="BQ105">
        <v>1</v>
      </c>
      <c r="BR105">
        <v>2</v>
      </c>
      <c r="BS105">
        <v>0</v>
      </c>
      <c r="BT105">
        <v>0</v>
      </c>
      <c r="BU105">
        <v>0</v>
      </c>
      <c r="BV105">
        <v>0</v>
      </c>
      <c r="BW105">
        <v>3</v>
      </c>
      <c r="BX105">
        <v>1</v>
      </c>
      <c r="BY105">
        <v>0</v>
      </c>
      <c r="BZ105">
        <v>1</v>
      </c>
      <c r="CA105">
        <v>0</v>
      </c>
      <c r="CB105">
        <v>1</v>
      </c>
      <c r="CC105">
        <v>0</v>
      </c>
      <c r="CD105">
        <v>6</v>
      </c>
      <c r="CE105">
        <v>6</v>
      </c>
      <c r="CF105">
        <v>0</v>
      </c>
      <c r="CG105">
        <v>0</v>
      </c>
      <c r="CH105">
        <v>428</v>
      </c>
      <c r="CI105">
        <v>133</v>
      </c>
      <c r="CJ105">
        <v>1822</v>
      </c>
      <c r="CK105">
        <v>486</v>
      </c>
      <c r="CL105">
        <v>49</v>
      </c>
      <c r="CM105">
        <v>68</v>
      </c>
      <c r="CN105">
        <v>103</v>
      </c>
      <c r="CO105">
        <v>118</v>
      </c>
      <c r="CP105">
        <v>104</v>
      </c>
      <c r="CQ105">
        <v>119</v>
      </c>
      <c r="CR105">
        <v>423</v>
      </c>
      <c r="CS105">
        <v>953</v>
      </c>
      <c r="CT105">
        <v>227</v>
      </c>
      <c r="CU105">
        <v>64</v>
      </c>
      <c r="CV105">
        <v>26</v>
      </c>
      <c r="CW105">
        <v>46</v>
      </c>
      <c r="CX105">
        <v>8</v>
      </c>
      <c r="CY105">
        <v>344</v>
      </c>
      <c r="CZ105">
        <v>164</v>
      </c>
      <c r="DA105">
        <v>4</v>
      </c>
      <c r="DB105">
        <v>49</v>
      </c>
      <c r="DC105">
        <v>0</v>
      </c>
      <c r="DD105">
        <v>197</v>
      </c>
      <c r="DE105">
        <v>844</v>
      </c>
      <c r="DF105">
        <v>373</v>
      </c>
      <c r="DG105">
        <v>894</v>
      </c>
      <c r="DH105">
        <v>0</v>
      </c>
      <c r="DI105">
        <v>0</v>
      </c>
      <c r="DJ105">
        <v>0</v>
      </c>
      <c r="DK105">
        <v>0</v>
      </c>
      <c r="DL105">
        <v>0</v>
      </c>
      <c r="DM105">
        <v>6</v>
      </c>
      <c r="DN105">
        <v>5</v>
      </c>
      <c r="DO105">
        <v>1</v>
      </c>
      <c r="DP105">
        <v>1</v>
      </c>
      <c r="DQ105">
        <v>0</v>
      </c>
      <c r="DR105">
        <v>0</v>
      </c>
      <c r="DS105">
        <v>0</v>
      </c>
      <c r="DT105">
        <v>0</v>
      </c>
      <c r="DU105">
        <v>0</v>
      </c>
      <c r="DV105">
        <v>100</v>
      </c>
      <c r="DW105">
        <v>103</v>
      </c>
      <c r="DX105">
        <v>167</v>
      </c>
      <c r="DY105">
        <v>160</v>
      </c>
      <c r="DZ105">
        <v>69</v>
      </c>
      <c r="EA105">
        <v>64</v>
      </c>
      <c r="EB105">
        <v>44</v>
      </c>
      <c r="EC105">
        <v>12</v>
      </c>
      <c r="ED105">
        <v>15</v>
      </c>
      <c r="EE105">
        <v>12</v>
      </c>
      <c r="EF105">
        <v>45</v>
      </c>
      <c r="EG105">
        <v>65</v>
      </c>
      <c r="EH105">
        <v>15</v>
      </c>
      <c r="EI105">
        <v>14</v>
      </c>
      <c r="EJ105">
        <v>139</v>
      </c>
      <c r="EK105">
        <v>215</v>
      </c>
      <c r="EL105">
        <v>90</v>
      </c>
      <c r="EM105">
        <v>32</v>
      </c>
      <c r="EN105">
        <v>19</v>
      </c>
      <c r="EO105">
        <v>76</v>
      </c>
      <c r="EP105">
        <v>17</v>
      </c>
      <c r="EQ105">
        <v>662</v>
      </c>
      <c r="ER105">
        <v>658</v>
      </c>
      <c r="ES105">
        <v>4</v>
      </c>
      <c r="ET105">
        <v>191</v>
      </c>
      <c r="EU105">
        <v>181</v>
      </c>
      <c r="EV105">
        <v>180</v>
      </c>
      <c r="EW105">
        <v>1</v>
      </c>
      <c r="EX105">
        <v>656</v>
      </c>
      <c r="EY105" s="26">
        <v>56.085918999999997</v>
      </c>
      <c r="EZ105" s="26">
        <v>8.4725540000000006</v>
      </c>
      <c r="FA105" s="26">
        <v>7.9952269999999999</v>
      </c>
      <c r="FB105" s="26">
        <v>27.207636999999998</v>
      </c>
      <c r="FC105" s="26">
        <v>0.23866299999999999</v>
      </c>
      <c r="FD105">
        <v>105</v>
      </c>
      <c r="FE105">
        <v>229</v>
      </c>
      <c r="FF105">
        <v>27</v>
      </c>
      <c r="FG105">
        <v>194</v>
      </c>
      <c r="FH105">
        <v>0</v>
      </c>
      <c r="FI105">
        <v>173</v>
      </c>
      <c r="FJ105">
        <v>115</v>
      </c>
      <c r="FK105" s="26" t="s">
        <v>359</v>
      </c>
      <c r="FL105" s="26" t="s">
        <v>359</v>
      </c>
      <c r="FM105" s="26" t="s">
        <v>359</v>
      </c>
      <c r="FN105" s="26" t="s">
        <v>359</v>
      </c>
      <c r="FO105" s="28">
        <v>806</v>
      </c>
      <c r="FP105" s="28">
        <v>369</v>
      </c>
      <c r="FQ105">
        <v>36</v>
      </c>
      <c r="FR105">
        <v>12</v>
      </c>
      <c r="FS105">
        <v>20</v>
      </c>
      <c r="FT105">
        <v>4</v>
      </c>
      <c r="FU105">
        <v>742</v>
      </c>
      <c r="FV105">
        <v>0</v>
      </c>
      <c r="FW105">
        <v>0</v>
      </c>
      <c r="FX105">
        <v>0</v>
      </c>
      <c r="FY105">
        <v>825</v>
      </c>
      <c r="FZ105">
        <v>308</v>
      </c>
      <c r="GA105">
        <v>27</v>
      </c>
      <c r="GB105">
        <v>12</v>
      </c>
      <c r="GC105">
        <v>13</v>
      </c>
      <c r="GD105">
        <v>3</v>
      </c>
      <c r="GE105">
        <v>774</v>
      </c>
      <c r="GF105">
        <v>0</v>
      </c>
      <c r="GG105">
        <v>0</v>
      </c>
      <c r="GH105">
        <v>0</v>
      </c>
      <c r="GI105">
        <v>85</v>
      </c>
      <c r="GJ105">
        <v>95</v>
      </c>
      <c r="GK105">
        <v>104</v>
      </c>
      <c r="GL105">
        <v>72</v>
      </c>
      <c r="GM105">
        <v>42</v>
      </c>
      <c r="GN105">
        <v>47</v>
      </c>
      <c r="GO105">
        <v>59</v>
      </c>
      <c r="GP105">
        <v>58</v>
      </c>
      <c r="GQ105">
        <v>47</v>
      </c>
      <c r="GR105">
        <v>33</v>
      </c>
      <c r="GS105">
        <v>48</v>
      </c>
      <c r="GT105">
        <v>35</v>
      </c>
      <c r="GU105">
        <v>20</v>
      </c>
      <c r="GV105">
        <v>15</v>
      </c>
      <c r="GW105">
        <v>15</v>
      </c>
      <c r="GX105">
        <v>13</v>
      </c>
      <c r="GY105">
        <v>9</v>
      </c>
      <c r="GZ105">
        <v>9</v>
      </c>
      <c r="HA105">
        <v>81</v>
      </c>
      <c r="HB105">
        <v>92</v>
      </c>
      <c r="HC105">
        <v>95</v>
      </c>
      <c r="HD105">
        <v>45</v>
      </c>
      <c r="HE105">
        <v>65</v>
      </c>
      <c r="HF105">
        <v>64</v>
      </c>
      <c r="HG105">
        <v>67</v>
      </c>
      <c r="HH105">
        <v>60</v>
      </c>
      <c r="HI105">
        <v>46</v>
      </c>
      <c r="HJ105">
        <v>55</v>
      </c>
      <c r="HK105">
        <v>48</v>
      </c>
      <c r="HL105">
        <v>26</v>
      </c>
      <c r="HM105">
        <v>27</v>
      </c>
      <c r="HN105">
        <v>21</v>
      </c>
      <c r="HO105">
        <v>18</v>
      </c>
      <c r="HP105">
        <v>6</v>
      </c>
      <c r="HQ105">
        <v>5</v>
      </c>
      <c r="HR105">
        <v>4</v>
      </c>
      <c r="HS105">
        <v>528</v>
      </c>
      <c r="HT105">
        <v>0</v>
      </c>
      <c r="HU105">
        <v>0</v>
      </c>
      <c r="HV105">
        <v>0</v>
      </c>
      <c r="HW105">
        <v>0</v>
      </c>
      <c r="HX105">
        <v>0</v>
      </c>
      <c r="HY105">
        <v>0</v>
      </c>
      <c r="HZ105">
        <v>0</v>
      </c>
      <c r="IA105">
        <v>49</v>
      </c>
      <c r="IB105">
        <v>68</v>
      </c>
      <c r="IC105">
        <v>103</v>
      </c>
      <c r="ID105">
        <v>118</v>
      </c>
      <c r="IE105">
        <v>104</v>
      </c>
      <c r="IF105">
        <v>68</v>
      </c>
      <c r="IG105">
        <v>26</v>
      </c>
      <c r="IH105">
        <v>11</v>
      </c>
      <c r="II105">
        <v>14</v>
      </c>
      <c r="IJ105">
        <v>22</v>
      </c>
      <c r="IK105">
        <v>77</v>
      </c>
      <c r="IL105">
        <v>146</v>
      </c>
      <c r="IM105">
        <v>156</v>
      </c>
      <c r="IN105">
        <v>105</v>
      </c>
      <c r="IO105">
        <v>40</v>
      </c>
      <c r="IP105">
        <v>9</v>
      </c>
      <c r="IQ105">
        <v>4</v>
      </c>
      <c r="IR105">
        <v>2</v>
      </c>
      <c r="IS105">
        <v>227</v>
      </c>
      <c r="IT105">
        <v>206</v>
      </c>
      <c r="IU105">
        <v>104</v>
      </c>
      <c r="IV105">
        <v>19</v>
      </c>
      <c r="IW105">
        <v>5</v>
      </c>
      <c r="IX105">
        <v>304</v>
      </c>
      <c r="IY105">
        <v>31</v>
      </c>
      <c r="IZ105">
        <v>0</v>
      </c>
      <c r="JA105">
        <v>2</v>
      </c>
      <c r="JB105">
        <v>0</v>
      </c>
      <c r="JC105">
        <v>125</v>
      </c>
      <c r="JD105">
        <v>549</v>
      </c>
      <c r="JE105">
        <v>12</v>
      </c>
      <c r="JF105">
        <v>0</v>
      </c>
      <c r="JH105" s="28">
        <v>440.01803227743818</v>
      </c>
      <c r="JI105" s="28">
        <v>26.020297101021583</v>
      </c>
      <c r="JJ105">
        <v>66</v>
      </c>
      <c r="JK105">
        <v>479</v>
      </c>
      <c r="JL105">
        <v>16</v>
      </c>
      <c r="JM105">
        <v>0</v>
      </c>
      <c r="JN105">
        <v>359</v>
      </c>
      <c r="JO105">
        <v>221</v>
      </c>
      <c r="JP105">
        <v>61</v>
      </c>
      <c r="JQ105">
        <v>197</v>
      </c>
      <c r="JR105">
        <v>398</v>
      </c>
      <c r="JS105">
        <v>43</v>
      </c>
      <c r="JT105">
        <v>9</v>
      </c>
      <c r="JU105">
        <v>404</v>
      </c>
      <c r="JV105">
        <v>167</v>
      </c>
      <c r="JW105" s="28"/>
      <c r="JX105" s="28"/>
      <c r="JY105" s="28"/>
      <c r="JZ105" s="28"/>
      <c r="KA105" s="28">
        <v>545.99999882999998</v>
      </c>
      <c r="KB105">
        <v>2182</v>
      </c>
      <c r="KC105">
        <v>0</v>
      </c>
      <c r="KD105">
        <v>0</v>
      </c>
      <c r="KE105">
        <v>0</v>
      </c>
      <c r="KF105">
        <v>0</v>
      </c>
      <c r="KG105">
        <v>0</v>
      </c>
      <c r="KH105">
        <v>0</v>
      </c>
      <c r="KI105">
        <v>0</v>
      </c>
      <c r="KJ105">
        <v>275</v>
      </c>
      <c r="KK105">
        <v>1968</v>
      </c>
      <c r="KL105">
        <v>65</v>
      </c>
      <c r="KM105">
        <v>0</v>
      </c>
      <c r="KT105">
        <v>365</v>
      </c>
      <c r="KU105">
        <v>335</v>
      </c>
      <c r="KV105">
        <v>294</v>
      </c>
      <c r="KW105">
        <v>38</v>
      </c>
      <c r="KX105">
        <v>16</v>
      </c>
      <c r="KZ105">
        <v>276</v>
      </c>
      <c r="LA105">
        <v>32</v>
      </c>
      <c r="LB105">
        <v>7</v>
      </c>
      <c r="LD105">
        <v>170</v>
      </c>
      <c r="LE105">
        <v>178</v>
      </c>
      <c r="LF105">
        <v>86</v>
      </c>
      <c r="LG105">
        <v>107</v>
      </c>
      <c r="LH105">
        <v>1554</v>
      </c>
      <c r="LI105">
        <v>2</v>
      </c>
      <c r="LJ105">
        <v>114</v>
      </c>
      <c r="LK105">
        <v>23</v>
      </c>
      <c r="LL105">
        <v>163</v>
      </c>
      <c r="LM105">
        <v>0</v>
      </c>
      <c r="LN105">
        <v>115</v>
      </c>
      <c r="LO105">
        <v>49</v>
      </c>
      <c r="LP105">
        <v>1</v>
      </c>
      <c r="LQ105">
        <v>97</v>
      </c>
      <c r="LR105">
        <v>21</v>
      </c>
      <c r="LS105">
        <v>250</v>
      </c>
      <c r="LT105">
        <v>0</v>
      </c>
      <c r="LU105">
        <v>107</v>
      </c>
      <c r="LV105">
        <v>37</v>
      </c>
      <c r="LW105" s="44"/>
      <c r="LX105" s="44"/>
      <c r="LY105" s="44"/>
      <c r="LZ105">
        <v>561</v>
      </c>
      <c r="MA105">
        <v>2308</v>
      </c>
      <c r="MB105">
        <v>2283</v>
      </c>
      <c r="MC105">
        <v>10</v>
      </c>
      <c r="MD105" s="26">
        <v>12.419561999999999</v>
      </c>
      <c r="ME105" s="26">
        <v>4.9886619999999997</v>
      </c>
      <c r="MF105" s="26">
        <v>42.535392999999999</v>
      </c>
      <c r="MG105" s="26">
        <v>29.332756</v>
      </c>
      <c r="MH105" s="26">
        <v>11.764706</v>
      </c>
      <c r="MI105" s="26">
        <v>2.1390370000000001</v>
      </c>
      <c r="MJ105" s="26">
        <v>11.229946999999999</v>
      </c>
      <c r="MK105" s="26">
        <v>2.1390370000000001</v>
      </c>
      <c r="ML105" s="26">
        <v>2.673797</v>
      </c>
      <c r="MM105" s="26">
        <v>60.606060999999997</v>
      </c>
      <c r="MN105" s="26">
        <v>36.007129999999997</v>
      </c>
      <c r="MO105" s="26">
        <v>0.224661</v>
      </c>
      <c r="MP105" t="s">
        <v>1029</v>
      </c>
      <c r="MQ105">
        <v>817</v>
      </c>
      <c r="MR105">
        <v>77</v>
      </c>
    </row>
    <row r="106" spans="1:356">
      <c r="A106" t="s">
        <v>215</v>
      </c>
      <c r="B106" t="s">
        <v>216</v>
      </c>
      <c r="C106">
        <v>271674</v>
      </c>
      <c r="D106">
        <v>320451</v>
      </c>
      <c r="E106">
        <v>353706</v>
      </c>
      <c r="F106">
        <f t="shared" si="6"/>
        <v>33255</v>
      </c>
      <c r="G106" s="26">
        <f t="shared" si="7"/>
        <v>10.377561624086056</v>
      </c>
      <c r="H106">
        <v>171610</v>
      </c>
      <c r="I106">
        <v>182096</v>
      </c>
      <c r="J106">
        <v>254201</v>
      </c>
      <c r="K106">
        <v>99505</v>
      </c>
      <c r="L106">
        <v>17061</v>
      </c>
      <c r="M106">
        <v>16326</v>
      </c>
      <c r="N106">
        <v>16106</v>
      </c>
      <c r="O106">
        <v>15604</v>
      </c>
      <c r="P106">
        <v>14176</v>
      </c>
      <c r="Q106">
        <v>13116</v>
      </c>
      <c r="R106">
        <v>12324</v>
      </c>
      <c r="S106">
        <v>11849</v>
      </c>
      <c r="T106">
        <v>10840</v>
      </c>
      <c r="U106">
        <v>9438</v>
      </c>
      <c r="V106">
        <v>8536</v>
      </c>
      <c r="W106">
        <v>6899</v>
      </c>
      <c r="X106">
        <v>5824</v>
      </c>
      <c r="Y106">
        <v>12093</v>
      </c>
      <c r="Z106">
        <v>1418</v>
      </c>
      <c r="AA106">
        <v>16653</v>
      </c>
      <c r="AB106">
        <v>15717</v>
      </c>
      <c r="AC106">
        <v>15595</v>
      </c>
      <c r="AD106">
        <v>15292</v>
      </c>
      <c r="AE106">
        <v>14869</v>
      </c>
      <c r="AF106">
        <v>14433</v>
      </c>
      <c r="AG106">
        <v>13995</v>
      </c>
      <c r="AH106">
        <v>13587</v>
      </c>
      <c r="AI106">
        <v>12250</v>
      </c>
      <c r="AJ106">
        <v>10820</v>
      </c>
      <c r="AK106">
        <v>9709</v>
      </c>
      <c r="AL106">
        <v>7755</v>
      </c>
      <c r="AM106">
        <v>6520</v>
      </c>
      <c r="AN106">
        <v>13482</v>
      </c>
      <c r="AO106">
        <v>1419</v>
      </c>
      <c r="AP106">
        <v>311891</v>
      </c>
      <c r="AQ106">
        <v>16419</v>
      </c>
      <c r="AR106">
        <v>381</v>
      </c>
      <c r="AS106">
        <v>21627</v>
      </c>
      <c r="AT106">
        <v>3388</v>
      </c>
      <c r="AU106">
        <v>3432</v>
      </c>
      <c r="AV106">
        <v>1973</v>
      </c>
      <c r="AW106">
        <v>1459</v>
      </c>
      <c r="AX106">
        <v>3206</v>
      </c>
      <c r="AY106">
        <v>4310</v>
      </c>
      <c r="AZ106">
        <v>3340</v>
      </c>
      <c r="BA106">
        <v>970</v>
      </c>
      <c r="BB106">
        <v>9</v>
      </c>
      <c r="BC106">
        <v>17</v>
      </c>
      <c r="BD106">
        <v>49</v>
      </c>
      <c r="BE106">
        <v>32</v>
      </c>
      <c r="BF106">
        <v>45</v>
      </c>
      <c r="BG106">
        <v>56</v>
      </c>
      <c r="BH106">
        <v>124</v>
      </c>
      <c r="BI106">
        <v>93</v>
      </c>
      <c r="BJ106">
        <v>138</v>
      </c>
      <c r="BK106">
        <v>138</v>
      </c>
      <c r="BL106">
        <v>193</v>
      </c>
      <c r="BM106">
        <v>122</v>
      </c>
      <c r="BN106">
        <v>161</v>
      </c>
      <c r="BO106">
        <v>123</v>
      </c>
      <c r="BP106">
        <v>160</v>
      </c>
      <c r="BQ106">
        <v>126</v>
      </c>
      <c r="BR106">
        <v>143</v>
      </c>
      <c r="BS106">
        <v>103</v>
      </c>
      <c r="BT106">
        <v>127</v>
      </c>
      <c r="BU106">
        <v>110</v>
      </c>
      <c r="BV106">
        <v>153</v>
      </c>
      <c r="BW106">
        <v>93</v>
      </c>
      <c r="BX106">
        <v>138</v>
      </c>
      <c r="BY106">
        <v>104</v>
      </c>
      <c r="BZ106">
        <v>133</v>
      </c>
      <c r="CA106">
        <v>71</v>
      </c>
      <c r="CB106">
        <v>400</v>
      </c>
      <c r="CC106">
        <v>271</v>
      </c>
      <c r="CD106">
        <v>1906</v>
      </c>
      <c r="CE106">
        <v>1403</v>
      </c>
      <c r="CF106">
        <v>41</v>
      </c>
      <c r="CG106">
        <v>32</v>
      </c>
      <c r="CH106">
        <v>62480</v>
      </c>
      <c r="CI106">
        <v>33731</v>
      </c>
      <c r="CJ106">
        <v>234398</v>
      </c>
      <c r="CK106">
        <v>115924</v>
      </c>
      <c r="CL106">
        <v>11790</v>
      </c>
      <c r="CM106">
        <v>17250</v>
      </c>
      <c r="CN106">
        <v>19816</v>
      </c>
      <c r="CO106">
        <v>20455</v>
      </c>
      <c r="CP106">
        <v>13352</v>
      </c>
      <c r="CQ106">
        <v>13548</v>
      </c>
      <c r="CR106">
        <v>58008</v>
      </c>
      <c r="CS106">
        <v>134007</v>
      </c>
      <c r="CT106">
        <v>28361</v>
      </c>
      <c r="CU106">
        <v>7384</v>
      </c>
      <c r="CV106">
        <v>4691</v>
      </c>
      <c r="CW106">
        <v>15463</v>
      </c>
      <c r="CX106">
        <v>4204</v>
      </c>
      <c r="CY106">
        <v>54798</v>
      </c>
      <c r="CZ106">
        <v>26308</v>
      </c>
      <c r="DA106">
        <v>1749</v>
      </c>
      <c r="DB106">
        <v>11790</v>
      </c>
      <c r="DC106">
        <v>882</v>
      </c>
      <c r="DD106">
        <v>6221</v>
      </c>
      <c r="DE106">
        <v>16421</v>
      </c>
      <c r="DF106">
        <v>17108</v>
      </c>
      <c r="DG106">
        <v>59755</v>
      </c>
      <c r="DH106">
        <v>13423</v>
      </c>
      <c r="DI106">
        <v>23228</v>
      </c>
      <c r="DJ106">
        <v>0</v>
      </c>
      <c r="DK106">
        <v>0</v>
      </c>
      <c r="DL106">
        <v>217550</v>
      </c>
      <c r="DM106">
        <v>306</v>
      </c>
      <c r="DN106">
        <v>98</v>
      </c>
      <c r="DO106">
        <v>47</v>
      </c>
      <c r="DP106">
        <v>67</v>
      </c>
      <c r="DQ106">
        <v>4</v>
      </c>
      <c r="DR106">
        <v>3</v>
      </c>
      <c r="DS106">
        <v>0</v>
      </c>
      <c r="DT106">
        <v>0</v>
      </c>
      <c r="DU106">
        <v>1</v>
      </c>
      <c r="DV106">
        <v>6973</v>
      </c>
      <c r="DW106">
        <v>8634</v>
      </c>
      <c r="DX106">
        <v>11749</v>
      </c>
      <c r="DY106">
        <v>14623</v>
      </c>
      <c r="DZ106">
        <v>4881</v>
      </c>
      <c r="EA106">
        <v>4512</v>
      </c>
      <c r="EB106">
        <v>3385</v>
      </c>
      <c r="EC106">
        <v>2772</v>
      </c>
      <c r="ED106">
        <v>2558</v>
      </c>
      <c r="EE106">
        <v>2796</v>
      </c>
      <c r="EF106">
        <v>4245</v>
      </c>
      <c r="EG106">
        <v>5047</v>
      </c>
      <c r="EH106">
        <v>2070</v>
      </c>
      <c r="EI106">
        <v>1861</v>
      </c>
      <c r="EJ106">
        <v>10235</v>
      </c>
      <c r="EK106">
        <v>16986</v>
      </c>
      <c r="EL106">
        <v>5909</v>
      </c>
      <c r="EM106">
        <v>3580</v>
      </c>
      <c r="EN106">
        <v>3376</v>
      </c>
      <c r="EO106">
        <v>6108</v>
      </c>
      <c r="EP106">
        <v>2319</v>
      </c>
      <c r="EQ106">
        <v>96638</v>
      </c>
      <c r="ER106">
        <v>93992</v>
      </c>
      <c r="ES106">
        <v>2646</v>
      </c>
      <c r="ET106">
        <v>32309</v>
      </c>
      <c r="EU106">
        <v>69578</v>
      </c>
      <c r="EV106">
        <v>68212</v>
      </c>
      <c r="EW106">
        <v>1366</v>
      </c>
      <c r="EX106">
        <v>71966</v>
      </c>
      <c r="EY106" s="26">
        <v>11.681243</v>
      </c>
      <c r="EZ106" s="26">
        <v>16.290891999999999</v>
      </c>
      <c r="FA106" s="26">
        <v>21.395713000000001</v>
      </c>
      <c r="FB106" s="26">
        <v>48.981819000000002</v>
      </c>
      <c r="FC106" s="26">
        <v>1.6503319999999999</v>
      </c>
      <c r="FD106">
        <v>11381</v>
      </c>
      <c r="FE106">
        <v>37433</v>
      </c>
      <c r="FF106">
        <v>4511</v>
      </c>
      <c r="FG106">
        <v>34910</v>
      </c>
      <c r="FH106">
        <v>226</v>
      </c>
      <c r="FI106">
        <v>37440</v>
      </c>
      <c r="FJ106">
        <v>40204</v>
      </c>
      <c r="FK106" s="26" t="s">
        <v>359</v>
      </c>
      <c r="FL106" s="26" t="s">
        <v>359</v>
      </c>
      <c r="FM106" s="26" t="s">
        <v>359</v>
      </c>
      <c r="FN106" s="26" t="s">
        <v>359</v>
      </c>
      <c r="FO106" s="28">
        <v>93255</v>
      </c>
      <c r="FP106" s="28">
        <v>76669</v>
      </c>
      <c r="FQ106">
        <v>48599</v>
      </c>
      <c r="FR106">
        <v>9156</v>
      </c>
      <c r="FS106">
        <v>1465</v>
      </c>
      <c r="FT106">
        <v>3309</v>
      </c>
      <c r="FU106">
        <v>27687</v>
      </c>
      <c r="FV106">
        <v>1254</v>
      </c>
      <c r="FW106">
        <v>1299</v>
      </c>
      <c r="FX106">
        <v>1686</v>
      </c>
      <c r="FY106">
        <v>106637</v>
      </c>
      <c r="FZ106">
        <v>73868</v>
      </c>
      <c r="GA106">
        <v>53685</v>
      </c>
      <c r="GB106">
        <v>11519</v>
      </c>
      <c r="GC106">
        <v>1940</v>
      </c>
      <c r="GD106">
        <v>3462</v>
      </c>
      <c r="GE106">
        <v>32998</v>
      </c>
      <c r="GF106">
        <v>1291</v>
      </c>
      <c r="GG106">
        <v>1247</v>
      </c>
      <c r="GH106">
        <v>1591</v>
      </c>
      <c r="GI106">
        <v>8961</v>
      </c>
      <c r="GJ106">
        <v>9268</v>
      </c>
      <c r="GK106">
        <v>9234</v>
      </c>
      <c r="GL106">
        <v>8890</v>
      </c>
      <c r="GM106">
        <v>6758</v>
      </c>
      <c r="GN106">
        <v>6139</v>
      </c>
      <c r="GO106">
        <v>6237</v>
      </c>
      <c r="GP106">
        <v>6155</v>
      </c>
      <c r="GQ106">
        <v>5722</v>
      </c>
      <c r="GR106">
        <v>5138</v>
      </c>
      <c r="GS106">
        <v>4739</v>
      </c>
      <c r="GT106">
        <v>4112</v>
      </c>
      <c r="GU106">
        <v>3626</v>
      </c>
      <c r="GV106">
        <v>2951</v>
      </c>
      <c r="GW106">
        <v>2117</v>
      </c>
      <c r="GX106">
        <v>1499</v>
      </c>
      <c r="GY106">
        <v>925</v>
      </c>
      <c r="GZ106">
        <v>784</v>
      </c>
      <c r="HA106">
        <v>8852</v>
      </c>
      <c r="HB106">
        <v>8893</v>
      </c>
      <c r="HC106">
        <v>8879</v>
      </c>
      <c r="HD106">
        <v>8941</v>
      </c>
      <c r="HE106">
        <v>7702</v>
      </c>
      <c r="HF106">
        <v>7728</v>
      </c>
      <c r="HG106">
        <v>7960</v>
      </c>
      <c r="HH106">
        <v>7893</v>
      </c>
      <c r="HI106">
        <v>7376</v>
      </c>
      <c r="HJ106">
        <v>6609</v>
      </c>
      <c r="HK106">
        <v>6234</v>
      </c>
      <c r="HL106">
        <v>5249</v>
      </c>
      <c r="HM106">
        <v>4542</v>
      </c>
      <c r="HN106">
        <v>3518</v>
      </c>
      <c r="HO106">
        <v>2428</v>
      </c>
      <c r="HP106">
        <v>1704</v>
      </c>
      <c r="HQ106">
        <v>1114</v>
      </c>
      <c r="HR106">
        <v>1015</v>
      </c>
      <c r="HS106">
        <v>78488</v>
      </c>
      <c r="HT106">
        <v>1619</v>
      </c>
      <c r="HU106">
        <v>3163</v>
      </c>
      <c r="HV106">
        <v>0</v>
      </c>
      <c r="HW106">
        <v>214</v>
      </c>
      <c r="HX106">
        <v>0</v>
      </c>
      <c r="HY106">
        <v>28</v>
      </c>
      <c r="HZ106">
        <v>35</v>
      </c>
      <c r="IA106">
        <v>11710</v>
      </c>
      <c r="IB106">
        <v>17204</v>
      </c>
      <c r="IC106">
        <v>19772</v>
      </c>
      <c r="ID106">
        <v>20420</v>
      </c>
      <c r="IE106">
        <v>13334</v>
      </c>
      <c r="IF106">
        <v>6628</v>
      </c>
      <c r="IG106">
        <v>3338</v>
      </c>
      <c r="IH106">
        <v>1645</v>
      </c>
      <c r="II106">
        <v>1918</v>
      </c>
      <c r="IJ106">
        <v>15201</v>
      </c>
      <c r="IK106">
        <v>19795</v>
      </c>
      <c r="IL106">
        <v>26648</v>
      </c>
      <c r="IM106">
        <v>18666</v>
      </c>
      <c r="IN106">
        <v>9450</v>
      </c>
      <c r="IO106">
        <v>3552</v>
      </c>
      <c r="IP106">
        <v>1067</v>
      </c>
      <c r="IQ106">
        <v>491</v>
      </c>
      <c r="IR106">
        <v>264</v>
      </c>
      <c r="IS106">
        <v>38543</v>
      </c>
      <c r="IT106">
        <v>38895</v>
      </c>
      <c r="IU106">
        <v>13978</v>
      </c>
      <c r="IV106">
        <v>3100</v>
      </c>
      <c r="IW106">
        <v>619</v>
      </c>
      <c r="IX106">
        <v>59762</v>
      </c>
      <c r="IY106">
        <v>5371</v>
      </c>
      <c r="IZ106">
        <v>122</v>
      </c>
      <c r="JA106">
        <v>876</v>
      </c>
      <c r="JB106">
        <v>82</v>
      </c>
      <c r="JC106">
        <v>4004</v>
      </c>
      <c r="JD106">
        <v>93593</v>
      </c>
      <c r="JE106">
        <v>1541</v>
      </c>
      <c r="JF106">
        <v>835</v>
      </c>
      <c r="JH106" s="28">
        <v>79485.797496365951</v>
      </c>
      <c r="JI106" s="28">
        <v>1994.1357106156272</v>
      </c>
      <c r="JJ106">
        <v>8905</v>
      </c>
      <c r="JK106">
        <v>61882</v>
      </c>
      <c r="JL106">
        <v>24346</v>
      </c>
      <c r="JM106">
        <v>836</v>
      </c>
      <c r="JN106">
        <v>78994</v>
      </c>
      <c r="JO106">
        <v>52498</v>
      </c>
      <c r="JP106">
        <v>25730</v>
      </c>
      <c r="JQ106">
        <v>58902</v>
      </c>
      <c r="JR106">
        <v>83780</v>
      </c>
      <c r="JS106">
        <v>23536</v>
      </c>
      <c r="JT106">
        <v>21708</v>
      </c>
      <c r="JU106">
        <v>83419</v>
      </c>
      <c r="JV106">
        <v>31777</v>
      </c>
      <c r="JW106" s="28"/>
      <c r="JX106" s="28"/>
      <c r="JY106" s="28"/>
      <c r="JZ106" s="28"/>
      <c r="KA106" s="28">
        <v>95169.999533909999</v>
      </c>
      <c r="KB106">
        <v>293366</v>
      </c>
      <c r="KC106">
        <v>4907</v>
      </c>
      <c r="KD106">
        <v>8555</v>
      </c>
      <c r="KE106">
        <v>0</v>
      </c>
      <c r="KF106">
        <v>591</v>
      </c>
      <c r="KG106">
        <v>0</v>
      </c>
      <c r="KH106">
        <v>82</v>
      </c>
      <c r="KI106">
        <v>110</v>
      </c>
      <c r="KJ106">
        <v>35954</v>
      </c>
      <c r="KK106">
        <v>228454</v>
      </c>
      <c r="KL106">
        <v>82450</v>
      </c>
      <c r="KM106">
        <v>2791</v>
      </c>
      <c r="KT106">
        <v>46963</v>
      </c>
      <c r="KU106">
        <v>45726</v>
      </c>
      <c r="KV106">
        <v>34982</v>
      </c>
      <c r="KW106">
        <v>6834</v>
      </c>
      <c r="KX106">
        <v>4050</v>
      </c>
      <c r="KZ106">
        <v>33626</v>
      </c>
      <c r="LA106">
        <v>6533</v>
      </c>
      <c r="LB106">
        <v>4482</v>
      </c>
      <c r="LD106">
        <v>25241</v>
      </c>
      <c r="LE106">
        <v>24577</v>
      </c>
      <c r="LF106">
        <v>6654</v>
      </c>
      <c r="LG106">
        <v>10753</v>
      </c>
      <c r="LH106">
        <v>253411</v>
      </c>
      <c r="LI106">
        <v>242</v>
      </c>
      <c r="LJ106">
        <v>16277</v>
      </c>
      <c r="LK106">
        <v>3597</v>
      </c>
      <c r="LL106">
        <v>24024</v>
      </c>
      <c r="LM106">
        <v>148</v>
      </c>
      <c r="LN106">
        <v>23193</v>
      </c>
      <c r="LO106">
        <v>16719</v>
      </c>
      <c r="LP106">
        <v>340</v>
      </c>
      <c r="LQ106">
        <v>17988</v>
      </c>
      <c r="LR106">
        <v>3295</v>
      </c>
      <c r="LS106">
        <v>29511</v>
      </c>
      <c r="LT106">
        <v>269</v>
      </c>
      <c r="LU106">
        <v>22950</v>
      </c>
      <c r="LV106">
        <v>16917</v>
      </c>
      <c r="LW106" s="44"/>
      <c r="LX106" s="44"/>
      <c r="LY106" s="44"/>
      <c r="LZ106">
        <v>95969</v>
      </c>
      <c r="MA106">
        <v>349649</v>
      </c>
      <c r="MB106">
        <v>348156</v>
      </c>
      <c r="MC106">
        <v>5259</v>
      </c>
      <c r="MD106" s="26">
        <v>6.869078</v>
      </c>
      <c r="ME106" s="26">
        <v>9.4403880000000004</v>
      </c>
      <c r="MF106" s="26">
        <v>33.960245999999998</v>
      </c>
      <c r="MG106" s="26">
        <v>42.559922999999998</v>
      </c>
      <c r="MH106" s="26">
        <v>9.2790379999999999</v>
      </c>
      <c r="MI106" s="26">
        <v>2.0402420000000001</v>
      </c>
      <c r="MJ106" s="26">
        <v>7.5513969999999997</v>
      </c>
      <c r="MK106" s="26">
        <v>1.6057269999999999</v>
      </c>
      <c r="ML106" s="26">
        <v>0.832561</v>
      </c>
      <c r="MM106" s="26">
        <v>45.296918999999995</v>
      </c>
      <c r="MN106" s="26">
        <v>17.688002999999998</v>
      </c>
      <c r="MO106" s="26">
        <v>-0.40451899999999996</v>
      </c>
      <c r="MP106" t="s">
        <v>1027</v>
      </c>
      <c r="MQ106">
        <v>1433</v>
      </c>
      <c r="MR106">
        <v>119</v>
      </c>
    </row>
    <row r="107" spans="1:356">
      <c r="A107" t="s">
        <v>217</v>
      </c>
      <c r="B107" t="s">
        <v>218</v>
      </c>
      <c r="C107">
        <v>3639</v>
      </c>
      <c r="D107">
        <v>4121</v>
      </c>
      <c r="E107">
        <v>4547</v>
      </c>
      <c r="F107">
        <f t="shared" si="6"/>
        <v>426</v>
      </c>
      <c r="G107" s="26">
        <f t="shared" si="7"/>
        <v>10.337296772628008</v>
      </c>
      <c r="H107">
        <v>2209</v>
      </c>
      <c r="I107">
        <v>2338</v>
      </c>
      <c r="J107">
        <v>0</v>
      </c>
      <c r="K107">
        <v>4547</v>
      </c>
      <c r="L107">
        <v>256</v>
      </c>
      <c r="M107">
        <v>271</v>
      </c>
      <c r="N107">
        <v>296</v>
      </c>
      <c r="O107">
        <v>223</v>
      </c>
      <c r="P107">
        <v>156</v>
      </c>
      <c r="Q107">
        <v>125</v>
      </c>
      <c r="R107">
        <v>109</v>
      </c>
      <c r="S107">
        <v>117</v>
      </c>
      <c r="T107">
        <v>130</v>
      </c>
      <c r="U107">
        <v>107</v>
      </c>
      <c r="V107">
        <v>92</v>
      </c>
      <c r="W107">
        <v>79</v>
      </c>
      <c r="X107">
        <v>62</v>
      </c>
      <c r="Y107">
        <v>186</v>
      </c>
      <c r="Z107">
        <v>0</v>
      </c>
      <c r="AA107">
        <v>253</v>
      </c>
      <c r="AB107">
        <v>258</v>
      </c>
      <c r="AC107">
        <v>266</v>
      </c>
      <c r="AD107">
        <v>230</v>
      </c>
      <c r="AE107">
        <v>189</v>
      </c>
      <c r="AF107">
        <v>155</v>
      </c>
      <c r="AG107">
        <v>156</v>
      </c>
      <c r="AH107">
        <v>138</v>
      </c>
      <c r="AI107">
        <v>140</v>
      </c>
      <c r="AJ107">
        <v>96</v>
      </c>
      <c r="AK107">
        <v>98</v>
      </c>
      <c r="AL107">
        <v>74</v>
      </c>
      <c r="AM107">
        <v>75</v>
      </c>
      <c r="AN107">
        <v>210</v>
      </c>
      <c r="AO107">
        <v>0</v>
      </c>
      <c r="AP107">
        <v>4495</v>
      </c>
      <c r="AQ107">
        <v>47</v>
      </c>
      <c r="AR107">
        <v>4</v>
      </c>
      <c r="AS107">
        <v>0</v>
      </c>
      <c r="AT107">
        <v>1</v>
      </c>
      <c r="AU107">
        <v>3865</v>
      </c>
      <c r="AV107">
        <v>1869</v>
      </c>
      <c r="AW107">
        <v>1996</v>
      </c>
      <c r="AX107">
        <v>2980</v>
      </c>
      <c r="AY107">
        <v>3661</v>
      </c>
      <c r="AZ107">
        <v>3661</v>
      </c>
      <c r="BA107">
        <v>0</v>
      </c>
      <c r="BB107">
        <v>64</v>
      </c>
      <c r="BC107">
        <v>78</v>
      </c>
      <c r="BD107">
        <v>223</v>
      </c>
      <c r="BE107">
        <v>212</v>
      </c>
      <c r="BF107">
        <v>255</v>
      </c>
      <c r="BG107">
        <v>229</v>
      </c>
      <c r="BH107">
        <v>206</v>
      </c>
      <c r="BI107">
        <v>205</v>
      </c>
      <c r="BJ107">
        <v>151</v>
      </c>
      <c r="BK107">
        <v>174</v>
      </c>
      <c r="BL107">
        <v>120</v>
      </c>
      <c r="BM107">
        <v>150</v>
      </c>
      <c r="BN107">
        <v>102</v>
      </c>
      <c r="BO107">
        <v>149</v>
      </c>
      <c r="BP107">
        <v>109</v>
      </c>
      <c r="BQ107">
        <v>130</v>
      </c>
      <c r="BR107">
        <v>125</v>
      </c>
      <c r="BS107">
        <v>134</v>
      </c>
      <c r="BT107">
        <v>102</v>
      </c>
      <c r="BU107">
        <v>90</v>
      </c>
      <c r="BV107">
        <v>90</v>
      </c>
      <c r="BW107">
        <v>92</v>
      </c>
      <c r="BX107">
        <v>78</v>
      </c>
      <c r="BY107">
        <v>73</v>
      </c>
      <c r="BZ107">
        <v>61</v>
      </c>
      <c r="CA107">
        <v>73</v>
      </c>
      <c r="CB107">
        <v>183</v>
      </c>
      <c r="CC107">
        <v>207</v>
      </c>
      <c r="CD107">
        <v>1825</v>
      </c>
      <c r="CE107">
        <v>1926</v>
      </c>
      <c r="CF107">
        <v>38</v>
      </c>
      <c r="CG107">
        <v>65</v>
      </c>
      <c r="CH107">
        <v>831</v>
      </c>
      <c r="CI107">
        <v>269</v>
      </c>
      <c r="CJ107">
        <v>3564</v>
      </c>
      <c r="CK107">
        <v>875</v>
      </c>
      <c r="CL107">
        <v>110</v>
      </c>
      <c r="CM107">
        <v>167</v>
      </c>
      <c r="CN107">
        <v>205</v>
      </c>
      <c r="CO107">
        <v>206</v>
      </c>
      <c r="CP107">
        <v>169</v>
      </c>
      <c r="CQ107">
        <v>243</v>
      </c>
      <c r="CR107">
        <v>797</v>
      </c>
      <c r="CS107">
        <v>2027</v>
      </c>
      <c r="CT107">
        <v>316</v>
      </c>
      <c r="CU107">
        <v>87</v>
      </c>
      <c r="CV107">
        <v>35</v>
      </c>
      <c r="CW107">
        <v>75</v>
      </c>
      <c r="CX107">
        <v>2</v>
      </c>
      <c r="CY107">
        <v>725</v>
      </c>
      <c r="CZ107">
        <v>263</v>
      </c>
      <c r="DA107">
        <v>1</v>
      </c>
      <c r="DB107">
        <v>110</v>
      </c>
      <c r="DC107">
        <v>1</v>
      </c>
      <c r="DD107">
        <v>341</v>
      </c>
      <c r="DE107">
        <v>1508</v>
      </c>
      <c r="DF107">
        <v>426</v>
      </c>
      <c r="DG107">
        <v>2272</v>
      </c>
      <c r="DH107">
        <v>0</v>
      </c>
      <c r="DI107">
        <v>0</v>
      </c>
      <c r="DJ107">
        <v>0</v>
      </c>
      <c r="DK107">
        <v>0</v>
      </c>
      <c r="DL107">
        <v>0</v>
      </c>
      <c r="DM107">
        <v>9</v>
      </c>
      <c r="DN107">
        <v>9</v>
      </c>
      <c r="DO107">
        <v>1</v>
      </c>
      <c r="DP107">
        <v>1</v>
      </c>
      <c r="DQ107">
        <v>0</v>
      </c>
      <c r="DR107">
        <v>0</v>
      </c>
      <c r="DS107">
        <v>0</v>
      </c>
      <c r="DT107">
        <v>0</v>
      </c>
      <c r="DU107">
        <v>0</v>
      </c>
      <c r="DV107">
        <v>157</v>
      </c>
      <c r="DW107">
        <v>219</v>
      </c>
      <c r="DX107">
        <v>282</v>
      </c>
      <c r="DY107">
        <v>346</v>
      </c>
      <c r="DZ107">
        <v>102</v>
      </c>
      <c r="EA107">
        <v>136</v>
      </c>
      <c r="EB107">
        <v>52</v>
      </c>
      <c r="EC107">
        <v>55</v>
      </c>
      <c r="ED107">
        <v>33</v>
      </c>
      <c r="EE107">
        <v>39</v>
      </c>
      <c r="EF107">
        <v>74</v>
      </c>
      <c r="EG107">
        <v>99</v>
      </c>
      <c r="EH107">
        <v>38</v>
      </c>
      <c r="EI107">
        <v>41</v>
      </c>
      <c r="EJ107">
        <v>307</v>
      </c>
      <c r="EK107">
        <v>515</v>
      </c>
      <c r="EL107">
        <v>183</v>
      </c>
      <c r="EM107">
        <v>71</v>
      </c>
      <c r="EN107">
        <v>48</v>
      </c>
      <c r="EO107">
        <v>136</v>
      </c>
      <c r="EP107">
        <v>58</v>
      </c>
      <c r="EQ107">
        <v>1020</v>
      </c>
      <c r="ER107">
        <v>1009</v>
      </c>
      <c r="ES107">
        <v>11</v>
      </c>
      <c r="ET107">
        <v>547</v>
      </c>
      <c r="EU107">
        <v>407</v>
      </c>
      <c r="EV107">
        <v>405</v>
      </c>
      <c r="EW107">
        <v>2</v>
      </c>
      <c r="EX107">
        <v>1305</v>
      </c>
      <c r="EY107" s="26">
        <v>67.280452999999994</v>
      </c>
      <c r="EZ107" s="26">
        <v>9.3484420000000004</v>
      </c>
      <c r="FA107" s="26">
        <v>6.6572240000000003</v>
      </c>
      <c r="FB107" s="26">
        <v>16.430595</v>
      </c>
      <c r="FC107" s="26">
        <v>0.28328599999999998</v>
      </c>
      <c r="FD107">
        <v>135</v>
      </c>
      <c r="FE107">
        <v>521</v>
      </c>
      <c r="FF107">
        <v>46</v>
      </c>
      <c r="FG107">
        <v>395</v>
      </c>
      <c r="FH107">
        <v>0</v>
      </c>
      <c r="FI107">
        <v>205</v>
      </c>
      <c r="FJ107">
        <v>125</v>
      </c>
      <c r="FK107" s="26" t="s">
        <v>359</v>
      </c>
      <c r="FL107" s="26" t="s">
        <v>359</v>
      </c>
      <c r="FM107" s="26" t="s">
        <v>359</v>
      </c>
      <c r="FN107" s="26" t="s">
        <v>359</v>
      </c>
      <c r="FO107" s="28">
        <v>1667</v>
      </c>
      <c r="FP107" s="28">
        <v>542</v>
      </c>
      <c r="FQ107">
        <v>67</v>
      </c>
      <c r="FR107">
        <v>67</v>
      </c>
      <c r="FS107">
        <v>5</v>
      </c>
      <c r="FT107">
        <v>5</v>
      </c>
      <c r="FU107">
        <v>1509</v>
      </c>
      <c r="FV107">
        <v>4</v>
      </c>
      <c r="FW107">
        <v>1</v>
      </c>
      <c r="FX107">
        <v>0</v>
      </c>
      <c r="FY107">
        <v>1874</v>
      </c>
      <c r="FZ107">
        <v>463</v>
      </c>
      <c r="GA107">
        <v>27</v>
      </c>
      <c r="GB107">
        <v>65</v>
      </c>
      <c r="GC107">
        <v>9</v>
      </c>
      <c r="GD107">
        <v>2</v>
      </c>
      <c r="GE107">
        <v>1760</v>
      </c>
      <c r="GF107">
        <v>2</v>
      </c>
      <c r="GG107">
        <v>0</v>
      </c>
      <c r="GH107">
        <v>1</v>
      </c>
      <c r="GI107">
        <v>145</v>
      </c>
      <c r="GJ107">
        <v>232</v>
      </c>
      <c r="GK107">
        <v>243</v>
      </c>
      <c r="GL107">
        <v>176</v>
      </c>
      <c r="GM107">
        <v>100</v>
      </c>
      <c r="GN107">
        <v>83</v>
      </c>
      <c r="GO107">
        <v>88</v>
      </c>
      <c r="GP107">
        <v>90</v>
      </c>
      <c r="GQ107">
        <v>102</v>
      </c>
      <c r="GR107">
        <v>82</v>
      </c>
      <c r="GS107">
        <v>71</v>
      </c>
      <c r="GT107">
        <v>60</v>
      </c>
      <c r="GU107">
        <v>55</v>
      </c>
      <c r="GV107">
        <v>38</v>
      </c>
      <c r="GW107">
        <v>37</v>
      </c>
      <c r="GX107">
        <v>38</v>
      </c>
      <c r="GY107">
        <v>20</v>
      </c>
      <c r="GZ107">
        <v>7</v>
      </c>
      <c r="HA107">
        <v>158</v>
      </c>
      <c r="HB107">
        <v>222</v>
      </c>
      <c r="HC107">
        <v>232</v>
      </c>
      <c r="HD107">
        <v>173</v>
      </c>
      <c r="HE107">
        <v>141</v>
      </c>
      <c r="HF107">
        <v>124</v>
      </c>
      <c r="HG107">
        <v>132</v>
      </c>
      <c r="HH107">
        <v>120</v>
      </c>
      <c r="HI107">
        <v>117</v>
      </c>
      <c r="HJ107">
        <v>83</v>
      </c>
      <c r="HK107">
        <v>78</v>
      </c>
      <c r="HL107">
        <v>63</v>
      </c>
      <c r="HM107">
        <v>60</v>
      </c>
      <c r="HN107">
        <v>57</v>
      </c>
      <c r="HO107">
        <v>44</v>
      </c>
      <c r="HP107">
        <v>31</v>
      </c>
      <c r="HQ107">
        <v>19</v>
      </c>
      <c r="HR107">
        <v>20</v>
      </c>
      <c r="HS107">
        <v>993</v>
      </c>
      <c r="HT107">
        <v>0</v>
      </c>
      <c r="HU107">
        <v>1</v>
      </c>
      <c r="HV107">
        <v>0</v>
      </c>
      <c r="HW107">
        <v>0</v>
      </c>
      <c r="HX107">
        <v>0</v>
      </c>
      <c r="HY107">
        <v>0</v>
      </c>
      <c r="HZ107">
        <v>0</v>
      </c>
      <c r="IA107">
        <v>110</v>
      </c>
      <c r="IB107">
        <v>167</v>
      </c>
      <c r="IC107">
        <v>205</v>
      </c>
      <c r="ID107">
        <v>206</v>
      </c>
      <c r="IE107">
        <v>169</v>
      </c>
      <c r="IF107">
        <v>115</v>
      </c>
      <c r="IG107">
        <v>60</v>
      </c>
      <c r="IH107">
        <v>37</v>
      </c>
      <c r="II107">
        <v>31</v>
      </c>
      <c r="IJ107">
        <v>102</v>
      </c>
      <c r="IK107">
        <v>467</v>
      </c>
      <c r="IL107">
        <v>294</v>
      </c>
      <c r="IM107">
        <v>150</v>
      </c>
      <c r="IN107">
        <v>59</v>
      </c>
      <c r="IO107">
        <v>20</v>
      </c>
      <c r="IP107">
        <v>6</v>
      </c>
      <c r="IQ107">
        <v>1</v>
      </c>
      <c r="IR107">
        <v>1</v>
      </c>
      <c r="IS107">
        <v>613</v>
      </c>
      <c r="IT107">
        <v>339</v>
      </c>
      <c r="IU107">
        <v>111</v>
      </c>
      <c r="IV107">
        <v>29</v>
      </c>
      <c r="IW107">
        <v>8</v>
      </c>
      <c r="IX107">
        <v>619</v>
      </c>
      <c r="IY107">
        <v>383</v>
      </c>
      <c r="IZ107">
        <v>2</v>
      </c>
      <c r="JA107">
        <v>16</v>
      </c>
      <c r="JB107">
        <v>0</v>
      </c>
      <c r="JC107">
        <v>10</v>
      </c>
      <c r="JD107">
        <v>1059</v>
      </c>
      <c r="JE107">
        <v>41</v>
      </c>
      <c r="JF107">
        <v>0</v>
      </c>
      <c r="JH107" s="28">
        <v>955.63799833234646</v>
      </c>
      <c r="JI107" s="28">
        <v>39.153605394496743</v>
      </c>
      <c r="JJ107">
        <v>193</v>
      </c>
      <c r="JK107">
        <v>858</v>
      </c>
      <c r="JL107">
        <v>49</v>
      </c>
      <c r="JM107">
        <v>0</v>
      </c>
      <c r="JN107">
        <v>437</v>
      </c>
      <c r="JO107">
        <v>260</v>
      </c>
      <c r="JP107">
        <v>81</v>
      </c>
      <c r="JQ107">
        <v>363</v>
      </c>
      <c r="JR107">
        <v>690</v>
      </c>
      <c r="JS107">
        <v>104</v>
      </c>
      <c r="JT107">
        <v>23</v>
      </c>
      <c r="JU107">
        <v>546</v>
      </c>
      <c r="JV107">
        <v>59</v>
      </c>
      <c r="JW107" s="28"/>
      <c r="JX107" s="28"/>
      <c r="JY107" s="28"/>
      <c r="JZ107" s="28"/>
      <c r="KA107" s="28">
        <v>1086.0000030000001</v>
      </c>
      <c r="KB107">
        <v>4060</v>
      </c>
      <c r="KC107">
        <v>0</v>
      </c>
      <c r="KD107">
        <v>3</v>
      </c>
      <c r="KE107">
        <v>0</v>
      </c>
      <c r="KF107">
        <v>0</v>
      </c>
      <c r="KG107">
        <v>0</v>
      </c>
      <c r="KH107">
        <v>0</v>
      </c>
      <c r="KI107">
        <v>0</v>
      </c>
      <c r="KJ107">
        <v>783</v>
      </c>
      <c r="KK107">
        <v>3461</v>
      </c>
      <c r="KL107">
        <v>195</v>
      </c>
      <c r="KM107">
        <v>0</v>
      </c>
      <c r="KT107">
        <v>774</v>
      </c>
      <c r="KU107">
        <v>759</v>
      </c>
      <c r="KV107">
        <v>645</v>
      </c>
      <c r="KW107">
        <v>89</v>
      </c>
      <c r="KX107">
        <v>19</v>
      </c>
      <c r="KZ107">
        <v>612</v>
      </c>
      <c r="LA107">
        <v>84</v>
      </c>
      <c r="LB107">
        <v>34</v>
      </c>
      <c r="LD107">
        <v>422</v>
      </c>
      <c r="LE107">
        <v>417</v>
      </c>
      <c r="LF107">
        <v>140</v>
      </c>
      <c r="LG107">
        <v>254</v>
      </c>
      <c r="LH107">
        <v>2947</v>
      </c>
      <c r="LI107">
        <v>1</v>
      </c>
      <c r="LJ107">
        <v>218</v>
      </c>
      <c r="LK107">
        <v>50</v>
      </c>
      <c r="LL107">
        <v>327</v>
      </c>
      <c r="LM107">
        <v>0</v>
      </c>
      <c r="LN107">
        <v>156</v>
      </c>
      <c r="LO107">
        <v>42</v>
      </c>
      <c r="LP107">
        <v>7</v>
      </c>
      <c r="LQ107">
        <v>206</v>
      </c>
      <c r="LR107">
        <v>49</v>
      </c>
      <c r="LS107">
        <v>493</v>
      </c>
      <c r="LT107">
        <v>0</v>
      </c>
      <c r="LU107">
        <v>189</v>
      </c>
      <c r="LV107">
        <v>23</v>
      </c>
      <c r="LW107" s="44"/>
      <c r="LX107" s="44"/>
      <c r="LY107" s="44"/>
      <c r="LZ107">
        <v>1100</v>
      </c>
      <c r="MA107">
        <v>4439</v>
      </c>
      <c r="MB107">
        <v>3839</v>
      </c>
      <c r="MC107">
        <v>3433</v>
      </c>
      <c r="MD107" s="26">
        <v>13.369527999999999</v>
      </c>
      <c r="ME107" s="26">
        <v>4.2596349999999994</v>
      </c>
      <c r="MF107" s="26">
        <v>48.048862999999997</v>
      </c>
      <c r="MG107" s="26">
        <v>22.102484999999998</v>
      </c>
      <c r="MH107" s="26">
        <v>17.545455</v>
      </c>
      <c r="MI107" s="26">
        <v>3.454545</v>
      </c>
      <c r="MJ107" s="26">
        <v>2.2727269999999997</v>
      </c>
      <c r="MK107" s="26">
        <v>3.7272729999999998</v>
      </c>
      <c r="ML107" s="26">
        <v>1.2727269999999999</v>
      </c>
      <c r="MM107" s="26">
        <v>76.363636</v>
      </c>
      <c r="MN107" s="26">
        <v>60.272726999999996</v>
      </c>
      <c r="MO107" s="26">
        <v>0.61006199999999999</v>
      </c>
      <c r="MP107" t="s">
        <v>1029</v>
      </c>
      <c r="MQ107">
        <v>557</v>
      </c>
      <c r="MR107">
        <v>53</v>
      </c>
    </row>
    <row r="108" spans="1:356">
      <c r="A108" t="s">
        <v>219</v>
      </c>
      <c r="B108" t="s">
        <v>220</v>
      </c>
      <c r="C108">
        <v>10349</v>
      </c>
      <c r="D108">
        <v>12170</v>
      </c>
      <c r="E108">
        <v>13592</v>
      </c>
      <c r="F108">
        <f t="shared" si="6"/>
        <v>1422</v>
      </c>
      <c r="G108" s="26">
        <f t="shared" si="7"/>
        <v>11.684470008216934</v>
      </c>
      <c r="H108">
        <v>6562</v>
      </c>
      <c r="I108">
        <v>7030</v>
      </c>
      <c r="J108">
        <v>8421</v>
      </c>
      <c r="K108">
        <v>5171</v>
      </c>
      <c r="L108">
        <v>664</v>
      </c>
      <c r="M108">
        <v>721</v>
      </c>
      <c r="N108">
        <v>755</v>
      </c>
      <c r="O108">
        <v>672</v>
      </c>
      <c r="P108">
        <v>501</v>
      </c>
      <c r="Q108">
        <v>508</v>
      </c>
      <c r="R108">
        <v>465</v>
      </c>
      <c r="S108">
        <v>439</v>
      </c>
      <c r="T108">
        <v>365</v>
      </c>
      <c r="U108">
        <v>330</v>
      </c>
      <c r="V108">
        <v>304</v>
      </c>
      <c r="W108">
        <v>197</v>
      </c>
      <c r="X108">
        <v>179</v>
      </c>
      <c r="Y108">
        <v>462</v>
      </c>
      <c r="Z108">
        <v>0</v>
      </c>
      <c r="AA108">
        <v>690</v>
      </c>
      <c r="AB108">
        <v>743</v>
      </c>
      <c r="AC108">
        <v>729</v>
      </c>
      <c r="AD108">
        <v>674</v>
      </c>
      <c r="AE108">
        <v>628</v>
      </c>
      <c r="AF108">
        <v>569</v>
      </c>
      <c r="AG108">
        <v>529</v>
      </c>
      <c r="AH108">
        <v>476</v>
      </c>
      <c r="AI108">
        <v>477</v>
      </c>
      <c r="AJ108">
        <v>375</v>
      </c>
      <c r="AK108">
        <v>282</v>
      </c>
      <c r="AL108">
        <v>236</v>
      </c>
      <c r="AM108">
        <v>182</v>
      </c>
      <c r="AN108">
        <v>440</v>
      </c>
      <c r="AO108">
        <v>0</v>
      </c>
      <c r="AP108">
        <v>13146</v>
      </c>
      <c r="AQ108">
        <v>435</v>
      </c>
      <c r="AR108">
        <v>6</v>
      </c>
      <c r="AS108">
        <v>2</v>
      </c>
      <c r="AT108">
        <v>3</v>
      </c>
      <c r="AU108">
        <v>1143</v>
      </c>
      <c r="AV108">
        <v>555</v>
      </c>
      <c r="AW108">
        <v>588</v>
      </c>
      <c r="AX108">
        <v>1094</v>
      </c>
      <c r="AY108">
        <v>958</v>
      </c>
      <c r="AZ108">
        <v>691</v>
      </c>
      <c r="BA108">
        <v>267</v>
      </c>
      <c r="BB108">
        <v>1</v>
      </c>
      <c r="BC108">
        <v>4</v>
      </c>
      <c r="BD108">
        <v>7</v>
      </c>
      <c r="BE108">
        <v>16</v>
      </c>
      <c r="BF108">
        <v>41</v>
      </c>
      <c r="BG108">
        <v>26</v>
      </c>
      <c r="BH108">
        <v>54</v>
      </c>
      <c r="BI108">
        <v>52</v>
      </c>
      <c r="BJ108">
        <v>21</v>
      </c>
      <c r="BK108">
        <v>31</v>
      </c>
      <c r="BL108">
        <v>31</v>
      </c>
      <c r="BM108">
        <v>37</v>
      </c>
      <c r="BN108">
        <v>42</v>
      </c>
      <c r="BO108">
        <v>42</v>
      </c>
      <c r="BP108">
        <v>42</v>
      </c>
      <c r="BQ108">
        <v>55</v>
      </c>
      <c r="BR108">
        <v>36</v>
      </c>
      <c r="BS108">
        <v>58</v>
      </c>
      <c r="BT108">
        <v>41</v>
      </c>
      <c r="BU108">
        <v>62</v>
      </c>
      <c r="BV108">
        <v>56</v>
      </c>
      <c r="BW108">
        <v>41</v>
      </c>
      <c r="BX108">
        <v>29</v>
      </c>
      <c r="BY108">
        <v>41</v>
      </c>
      <c r="BZ108">
        <v>40</v>
      </c>
      <c r="CA108">
        <v>24</v>
      </c>
      <c r="CB108">
        <v>114</v>
      </c>
      <c r="CC108">
        <v>99</v>
      </c>
      <c r="CD108">
        <v>551</v>
      </c>
      <c r="CE108">
        <v>579</v>
      </c>
      <c r="CF108">
        <v>1</v>
      </c>
      <c r="CG108">
        <v>3</v>
      </c>
      <c r="CH108">
        <v>2441</v>
      </c>
      <c r="CI108">
        <v>1018</v>
      </c>
      <c r="CJ108">
        <v>9894</v>
      </c>
      <c r="CK108">
        <v>3584</v>
      </c>
      <c r="CL108">
        <v>346</v>
      </c>
      <c r="CM108">
        <v>520</v>
      </c>
      <c r="CN108">
        <v>684</v>
      </c>
      <c r="CO108">
        <v>792</v>
      </c>
      <c r="CP108">
        <v>522</v>
      </c>
      <c r="CQ108">
        <v>595</v>
      </c>
      <c r="CR108">
        <v>2383</v>
      </c>
      <c r="CS108">
        <v>5808</v>
      </c>
      <c r="CT108">
        <v>1076</v>
      </c>
      <c r="CU108">
        <v>343</v>
      </c>
      <c r="CV108">
        <v>107</v>
      </c>
      <c r="CW108">
        <v>276</v>
      </c>
      <c r="CX108">
        <v>26</v>
      </c>
      <c r="CY108">
        <v>2273</v>
      </c>
      <c r="CZ108">
        <v>817</v>
      </c>
      <c r="DA108">
        <v>17</v>
      </c>
      <c r="DB108">
        <v>346</v>
      </c>
      <c r="DC108">
        <v>6</v>
      </c>
      <c r="DD108">
        <v>736</v>
      </c>
      <c r="DE108">
        <v>1089</v>
      </c>
      <c r="DF108">
        <v>1520</v>
      </c>
      <c r="DG108">
        <v>1826</v>
      </c>
      <c r="DH108">
        <v>0</v>
      </c>
      <c r="DI108">
        <v>8421</v>
      </c>
      <c r="DJ108">
        <v>0</v>
      </c>
      <c r="DK108">
        <v>0</v>
      </c>
      <c r="DL108">
        <v>0</v>
      </c>
      <c r="DM108">
        <v>34</v>
      </c>
      <c r="DN108">
        <v>8</v>
      </c>
      <c r="DO108">
        <v>4</v>
      </c>
      <c r="DP108">
        <v>2</v>
      </c>
      <c r="DQ108">
        <v>0</v>
      </c>
      <c r="DR108">
        <v>1</v>
      </c>
      <c r="DS108">
        <v>0</v>
      </c>
      <c r="DT108">
        <v>0</v>
      </c>
      <c r="DU108">
        <v>0</v>
      </c>
      <c r="DV108">
        <v>324</v>
      </c>
      <c r="DW108">
        <v>383</v>
      </c>
      <c r="DX108">
        <v>599</v>
      </c>
      <c r="DY108">
        <v>761</v>
      </c>
      <c r="DZ108">
        <v>257</v>
      </c>
      <c r="EA108">
        <v>257</v>
      </c>
      <c r="EB108">
        <v>116</v>
      </c>
      <c r="EC108">
        <v>126</v>
      </c>
      <c r="ED108">
        <v>81</v>
      </c>
      <c r="EE108">
        <v>91</v>
      </c>
      <c r="EF108">
        <v>170</v>
      </c>
      <c r="EG108">
        <v>211</v>
      </c>
      <c r="EH108">
        <v>59</v>
      </c>
      <c r="EI108">
        <v>48</v>
      </c>
      <c r="EJ108">
        <v>555</v>
      </c>
      <c r="EK108">
        <v>965</v>
      </c>
      <c r="EL108">
        <v>386</v>
      </c>
      <c r="EM108">
        <v>196</v>
      </c>
      <c r="EN108">
        <v>139</v>
      </c>
      <c r="EO108">
        <v>291</v>
      </c>
      <c r="EP108">
        <v>82</v>
      </c>
      <c r="EQ108">
        <v>3556</v>
      </c>
      <c r="ER108">
        <v>3387</v>
      </c>
      <c r="ES108">
        <v>169</v>
      </c>
      <c r="ET108">
        <v>1311</v>
      </c>
      <c r="EU108">
        <v>1899</v>
      </c>
      <c r="EV108">
        <v>1848</v>
      </c>
      <c r="EW108">
        <v>51</v>
      </c>
      <c r="EX108">
        <v>3384</v>
      </c>
      <c r="EY108" s="26">
        <v>30.462890999999999</v>
      </c>
      <c r="EZ108" s="26">
        <v>16.033100000000001</v>
      </c>
      <c r="FA108" s="26">
        <v>17.481252000000001</v>
      </c>
      <c r="FB108" s="26">
        <v>35.298681000000002</v>
      </c>
      <c r="FC108" s="26">
        <v>0.72407600000000005</v>
      </c>
      <c r="FD108">
        <v>528</v>
      </c>
      <c r="FE108">
        <v>1116</v>
      </c>
      <c r="FF108">
        <v>180</v>
      </c>
      <c r="FG108">
        <v>1390</v>
      </c>
      <c r="FH108">
        <v>3</v>
      </c>
      <c r="FI108">
        <v>1241</v>
      </c>
      <c r="FJ108">
        <v>993</v>
      </c>
      <c r="FK108" s="26" t="s">
        <v>359</v>
      </c>
      <c r="FL108" s="26" t="s">
        <v>359</v>
      </c>
      <c r="FM108" s="26" t="s">
        <v>359</v>
      </c>
      <c r="FN108" s="26" t="s">
        <v>359</v>
      </c>
      <c r="FO108" s="28">
        <v>4865</v>
      </c>
      <c r="FP108" s="28">
        <v>1695</v>
      </c>
      <c r="FQ108">
        <v>293</v>
      </c>
      <c r="FR108">
        <v>283</v>
      </c>
      <c r="FS108">
        <v>63</v>
      </c>
      <c r="FT108">
        <v>11</v>
      </c>
      <c r="FU108">
        <v>4203</v>
      </c>
      <c r="FV108">
        <v>4</v>
      </c>
      <c r="FW108">
        <v>12</v>
      </c>
      <c r="FX108">
        <v>2</v>
      </c>
      <c r="FY108">
        <v>5529</v>
      </c>
      <c r="FZ108">
        <v>1500</v>
      </c>
      <c r="GA108">
        <v>230</v>
      </c>
      <c r="GB108">
        <v>321</v>
      </c>
      <c r="GC108">
        <v>82</v>
      </c>
      <c r="GD108">
        <v>3</v>
      </c>
      <c r="GE108">
        <v>4853</v>
      </c>
      <c r="GF108">
        <v>6</v>
      </c>
      <c r="GG108">
        <v>11</v>
      </c>
      <c r="GH108">
        <v>1</v>
      </c>
      <c r="GI108">
        <v>456</v>
      </c>
      <c r="GJ108">
        <v>585</v>
      </c>
      <c r="GK108">
        <v>629</v>
      </c>
      <c r="GL108">
        <v>525</v>
      </c>
      <c r="GM108">
        <v>341</v>
      </c>
      <c r="GN108">
        <v>344</v>
      </c>
      <c r="GO108">
        <v>308</v>
      </c>
      <c r="GP108">
        <v>328</v>
      </c>
      <c r="GQ108">
        <v>284</v>
      </c>
      <c r="GR108">
        <v>236</v>
      </c>
      <c r="GS108">
        <v>217</v>
      </c>
      <c r="GT108">
        <v>136</v>
      </c>
      <c r="GU108">
        <v>127</v>
      </c>
      <c r="GV108">
        <v>113</v>
      </c>
      <c r="GW108">
        <v>74</v>
      </c>
      <c r="GX108">
        <v>77</v>
      </c>
      <c r="GY108">
        <v>35</v>
      </c>
      <c r="GZ108">
        <v>50</v>
      </c>
      <c r="HA108">
        <v>469</v>
      </c>
      <c r="HB108">
        <v>621</v>
      </c>
      <c r="HC108">
        <v>617</v>
      </c>
      <c r="HD108">
        <v>524</v>
      </c>
      <c r="HE108">
        <v>485</v>
      </c>
      <c r="HF108">
        <v>428</v>
      </c>
      <c r="HG108">
        <v>429</v>
      </c>
      <c r="HH108">
        <v>380</v>
      </c>
      <c r="HI108">
        <v>380</v>
      </c>
      <c r="HJ108">
        <v>308</v>
      </c>
      <c r="HK108">
        <v>218</v>
      </c>
      <c r="HL108">
        <v>199</v>
      </c>
      <c r="HM108">
        <v>130</v>
      </c>
      <c r="HN108">
        <v>133</v>
      </c>
      <c r="HO108">
        <v>84</v>
      </c>
      <c r="HP108">
        <v>58</v>
      </c>
      <c r="HQ108">
        <v>30</v>
      </c>
      <c r="HR108">
        <v>36</v>
      </c>
      <c r="HS108">
        <v>3166</v>
      </c>
      <c r="HT108">
        <v>0</v>
      </c>
      <c r="HU108">
        <v>59</v>
      </c>
      <c r="HV108">
        <v>0</v>
      </c>
      <c r="HW108">
        <v>4</v>
      </c>
      <c r="HX108">
        <v>0</v>
      </c>
      <c r="HY108">
        <v>1</v>
      </c>
      <c r="HZ108">
        <v>1</v>
      </c>
      <c r="IA108">
        <v>345</v>
      </c>
      <c r="IB108">
        <v>517</v>
      </c>
      <c r="IC108">
        <v>684</v>
      </c>
      <c r="ID108">
        <v>792</v>
      </c>
      <c r="IE108">
        <v>521</v>
      </c>
      <c r="IF108">
        <v>283</v>
      </c>
      <c r="IG108">
        <v>143</v>
      </c>
      <c r="IH108">
        <v>76</v>
      </c>
      <c r="II108">
        <v>93</v>
      </c>
      <c r="IJ108">
        <v>494</v>
      </c>
      <c r="IK108">
        <v>776</v>
      </c>
      <c r="IL108">
        <v>936</v>
      </c>
      <c r="IM108">
        <v>760</v>
      </c>
      <c r="IN108">
        <v>361</v>
      </c>
      <c r="IO108">
        <v>90</v>
      </c>
      <c r="IP108">
        <v>22</v>
      </c>
      <c r="IQ108">
        <v>5</v>
      </c>
      <c r="IR108">
        <v>10</v>
      </c>
      <c r="IS108">
        <v>1678</v>
      </c>
      <c r="IT108">
        <v>1212</v>
      </c>
      <c r="IU108">
        <v>452</v>
      </c>
      <c r="IV108">
        <v>91</v>
      </c>
      <c r="IW108">
        <v>21</v>
      </c>
      <c r="IX108">
        <v>2362</v>
      </c>
      <c r="IY108">
        <v>665</v>
      </c>
      <c r="IZ108">
        <v>0</v>
      </c>
      <c r="JA108">
        <v>10</v>
      </c>
      <c r="JB108">
        <v>0</v>
      </c>
      <c r="JC108">
        <v>52</v>
      </c>
      <c r="JD108">
        <v>3407</v>
      </c>
      <c r="JE108">
        <v>47</v>
      </c>
      <c r="JF108">
        <v>0</v>
      </c>
      <c r="JH108" s="28">
        <v>2699.7479564344299</v>
      </c>
      <c r="JI108" s="28">
        <v>73.188694176467095</v>
      </c>
      <c r="JJ108">
        <v>346</v>
      </c>
      <c r="JK108">
        <v>2714</v>
      </c>
      <c r="JL108">
        <v>394</v>
      </c>
      <c r="JM108">
        <v>0</v>
      </c>
      <c r="JN108">
        <v>2134</v>
      </c>
      <c r="JO108">
        <v>1397</v>
      </c>
      <c r="JP108">
        <v>401</v>
      </c>
      <c r="JQ108">
        <v>1562</v>
      </c>
      <c r="JR108">
        <v>2819</v>
      </c>
      <c r="JS108">
        <v>446</v>
      </c>
      <c r="JT108">
        <v>105</v>
      </c>
      <c r="JU108">
        <v>2497</v>
      </c>
      <c r="JV108">
        <v>400</v>
      </c>
      <c r="JW108" s="28"/>
      <c r="JX108" s="28"/>
      <c r="JY108" s="28"/>
      <c r="JZ108" s="28"/>
      <c r="KA108" s="28">
        <v>3424.0000066799998</v>
      </c>
      <c r="KB108">
        <v>12501</v>
      </c>
      <c r="KC108">
        <v>0</v>
      </c>
      <c r="KD108">
        <v>144</v>
      </c>
      <c r="KE108">
        <v>0</v>
      </c>
      <c r="KF108">
        <v>10</v>
      </c>
      <c r="KG108">
        <v>0</v>
      </c>
      <c r="KH108">
        <v>2</v>
      </c>
      <c r="KI108">
        <v>3</v>
      </c>
      <c r="KJ108">
        <v>1328</v>
      </c>
      <c r="KK108">
        <v>10744</v>
      </c>
      <c r="KL108">
        <v>1394</v>
      </c>
      <c r="KM108">
        <v>0</v>
      </c>
      <c r="KT108">
        <v>2187</v>
      </c>
      <c r="KU108">
        <v>2232</v>
      </c>
      <c r="KV108">
        <v>1713</v>
      </c>
      <c r="KW108">
        <v>296</v>
      </c>
      <c r="KX108">
        <v>105</v>
      </c>
      <c r="KZ108">
        <v>1672</v>
      </c>
      <c r="LA108">
        <v>314</v>
      </c>
      <c r="LB108">
        <v>141</v>
      </c>
      <c r="LD108">
        <v>1172</v>
      </c>
      <c r="LE108">
        <v>1200</v>
      </c>
      <c r="LF108">
        <v>434</v>
      </c>
      <c r="LG108">
        <v>646</v>
      </c>
      <c r="LH108">
        <v>9290</v>
      </c>
      <c r="LI108">
        <v>10</v>
      </c>
      <c r="LJ108">
        <v>460</v>
      </c>
      <c r="LK108">
        <v>151</v>
      </c>
      <c r="LL108">
        <v>1018</v>
      </c>
      <c r="LM108">
        <v>4</v>
      </c>
      <c r="LN108">
        <v>796</v>
      </c>
      <c r="LO108">
        <v>352</v>
      </c>
      <c r="LP108">
        <v>6</v>
      </c>
      <c r="LQ108">
        <v>413</v>
      </c>
      <c r="LR108">
        <v>112</v>
      </c>
      <c r="LS108">
        <v>1498</v>
      </c>
      <c r="LT108">
        <v>3</v>
      </c>
      <c r="LU108">
        <v>828</v>
      </c>
      <c r="LV108">
        <v>356</v>
      </c>
      <c r="LW108" s="44"/>
      <c r="LX108" s="44"/>
      <c r="LY108" s="44"/>
      <c r="LZ108">
        <v>3454</v>
      </c>
      <c r="MA108">
        <v>13466</v>
      </c>
      <c r="MB108">
        <v>12887</v>
      </c>
      <c r="MC108">
        <v>827</v>
      </c>
      <c r="MD108" s="26">
        <v>11.625404</v>
      </c>
      <c r="ME108" s="26">
        <v>5.9559939999999996</v>
      </c>
      <c r="MF108" s="26">
        <v>34.725510999999997</v>
      </c>
      <c r="MG108" s="26">
        <v>23.506473999999997</v>
      </c>
      <c r="MH108" s="26">
        <v>10.017370999999999</v>
      </c>
      <c r="MI108" s="26">
        <v>1.0712219999999999</v>
      </c>
      <c r="MJ108" s="26">
        <v>2.171395</v>
      </c>
      <c r="MK108" s="26">
        <v>1.360741</v>
      </c>
      <c r="ML108" s="26">
        <v>0.86855799999999994</v>
      </c>
      <c r="MM108" s="26">
        <v>59.554139999999997</v>
      </c>
      <c r="MN108" s="26">
        <v>38.216560999999999</v>
      </c>
      <c r="MO108" s="26">
        <v>-6.5293000000000004E-2</v>
      </c>
      <c r="MP108" t="s">
        <v>1027</v>
      </c>
      <c r="MQ108">
        <v>1084</v>
      </c>
      <c r="MR108">
        <v>99</v>
      </c>
    </row>
    <row r="109" spans="1:356">
      <c r="A109" t="s">
        <v>221</v>
      </c>
      <c r="B109" t="s">
        <v>222</v>
      </c>
      <c r="C109">
        <v>38383</v>
      </c>
      <c r="D109">
        <v>41045</v>
      </c>
      <c r="E109">
        <v>21426</v>
      </c>
      <c r="F109">
        <f t="shared" si="6"/>
        <v>-19619</v>
      </c>
      <c r="G109" s="26">
        <f t="shared" si="7"/>
        <v>-47.798757461322936</v>
      </c>
      <c r="H109">
        <v>10664</v>
      </c>
      <c r="I109">
        <v>10762</v>
      </c>
      <c r="J109">
        <v>4950</v>
      </c>
      <c r="K109">
        <v>16476</v>
      </c>
      <c r="L109">
        <v>1201</v>
      </c>
      <c r="M109">
        <v>1116</v>
      </c>
      <c r="N109">
        <v>1092</v>
      </c>
      <c r="O109">
        <v>1030</v>
      </c>
      <c r="P109">
        <v>745</v>
      </c>
      <c r="Q109">
        <v>661</v>
      </c>
      <c r="R109">
        <v>634</v>
      </c>
      <c r="S109">
        <v>669</v>
      </c>
      <c r="T109">
        <v>617</v>
      </c>
      <c r="U109">
        <v>645</v>
      </c>
      <c r="V109">
        <v>514</v>
      </c>
      <c r="W109">
        <v>429</v>
      </c>
      <c r="X109">
        <v>383</v>
      </c>
      <c r="Y109">
        <v>927</v>
      </c>
      <c r="Z109">
        <v>1</v>
      </c>
      <c r="AA109">
        <v>1136</v>
      </c>
      <c r="AB109">
        <v>1073</v>
      </c>
      <c r="AC109">
        <v>1050</v>
      </c>
      <c r="AD109">
        <v>994</v>
      </c>
      <c r="AE109">
        <v>761</v>
      </c>
      <c r="AF109">
        <v>811</v>
      </c>
      <c r="AG109">
        <v>791</v>
      </c>
      <c r="AH109">
        <v>768</v>
      </c>
      <c r="AI109">
        <v>746</v>
      </c>
      <c r="AJ109">
        <v>574</v>
      </c>
      <c r="AK109">
        <v>513</v>
      </c>
      <c r="AL109">
        <v>395</v>
      </c>
      <c r="AM109">
        <v>325</v>
      </c>
      <c r="AN109">
        <v>825</v>
      </c>
      <c r="AO109">
        <v>0</v>
      </c>
      <c r="AP109">
        <v>21112</v>
      </c>
      <c r="AQ109">
        <v>239</v>
      </c>
      <c r="AR109">
        <v>59</v>
      </c>
      <c r="AS109">
        <v>5</v>
      </c>
      <c r="AT109">
        <v>11</v>
      </c>
      <c r="AU109">
        <v>3803</v>
      </c>
      <c r="AV109">
        <v>1913</v>
      </c>
      <c r="AW109">
        <v>1890</v>
      </c>
      <c r="AX109">
        <v>7280</v>
      </c>
      <c r="AY109">
        <v>7772</v>
      </c>
      <c r="AZ109">
        <v>7187</v>
      </c>
      <c r="BA109">
        <v>585</v>
      </c>
      <c r="BB109">
        <v>36</v>
      </c>
      <c r="BC109">
        <v>48</v>
      </c>
      <c r="BD109">
        <v>102</v>
      </c>
      <c r="BE109">
        <v>109</v>
      </c>
      <c r="BF109">
        <v>114</v>
      </c>
      <c r="BG109">
        <v>123</v>
      </c>
      <c r="BH109">
        <v>177</v>
      </c>
      <c r="BI109">
        <v>160</v>
      </c>
      <c r="BJ109">
        <v>116</v>
      </c>
      <c r="BK109">
        <v>115</v>
      </c>
      <c r="BL109">
        <v>114</v>
      </c>
      <c r="BM109">
        <v>136</v>
      </c>
      <c r="BN109">
        <v>116</v>
      </c>
      <c r="BO109">
        <v>160</v>
      </c>
      <c r="BP109">
        <v>143</v>
      </c>
      <c r="BQ109">
        <v>137</v>
      </c>
      <c r="BR109">
        <v>139</v>
      </c>
      <c r="BS109">
        <v>159</v>
      </c>
      <c r="BT109">
        <v>132</v>
      </c>
      <c r="BU109">
        <v>129</v>
      </c>
      <c r="BV109">
        <v>127</v>
      </c>
      <c r="BW109">
        <v>135</v>
      </c>
      <c r="BX109">
        <v>120</v>
      </c>
      <c r="BY109">
        <v>102</v>
      </c>
      <c r="BZ109">
        <v>105</v>
      </c>
      <c r="CA109">
        <v>91</v>
      </c>
      <c r="CB109">
        <v>372</v>
      </c>
      <c r="CC109">
        <v>286</v>
      </c>
      <c r="CD109">
        <v>1888</v>
      </c>
      <c r="CE109">
        <v>1854</v>
      </c>
      <c r="CF109">
        <v>18</v>
      </c>
      <c r="CG109">
        <v>27</v>
      </c>
      <c r="CH109">
        <v>4331</v>
      </c>
      <c r="CI109">
        <v>1467</v>
      </c>
      <c r="CJ109">
        <v>16484</v>
      </c>
      <c r="CK109">
        <v>4815</v>
      </c>
      <c r="CL109">
        <v>571</v>
      </c>
      <c r="CM109">
        <v>1065</v>
      </c>
      <c r="CN109">
        <v>1265</v>
      </c>
      <c r="CO109">
        <v>1293</v>
      </c>
      <c r="CP109">
        <v>776</v>
      </c>
      <c r="CQ109">
        <v>828</v>
      </c>
      <c r="CR109">
        <v>4259</v>
      </c>
      <c r="CS109">
        <v>8863</v>
      </c>
      <c r="CT109">
        <v>1266</v>
      </c>
      <c r="CU109">
        <v>422</v>
      </c>
      <c r="CV109">
        <v>243</v>
      </c>
      <c r="CW109">
        <v>397</v>
      </c>
      <c r="CX109">
        <v>51</v>
      </c>
      <c r="CY109">
        <v>3959</v>
      </c>
      <c r="CZ109">
        <v>1231</v>
      </c>
      <c r="DA109">
        <v>32</v>
      </c>
      <c r="DB109">
        <v>571</v>
      </c>
      <c r="DC109">
        <v>5</v>
      </c>
      <c r="DD109">
        <v>3273</v>
      </c>
      <c r="DE109">
        <v>2689</v>
      </c>
      <c r="DF109">
        <v>2604</v>
      </c>
      <c r="DG109">
        <v>7910</v>
      </c>
      <c r="DH109">
        <v>4950</v>
      </c>
      <c r="DI109">
        <v>0</v>
      </c>
      <c r="DJ109">
        <v>0</v>
      </c>
      <c r="DK109">
        <v>0</v>
      </c>
      <c r="DL109">
        <v>0</v>
      </c>
      <c r="DM109">
        <v>163</v>
      </c>
      <c r="DN109">
        <v>18</v>
      </c>
      <c r="DO109">
        <v>7</v>
      </c>
      <c r="DP109">
        <v>8</v>
      </c>
      <c r="DQ109">
        <v>1</v>
      </c>
      <c r="DR109">
        <v>0</v>
      </c>
      <c r="DS109">
        <v>0</v>
      </c>
      <c r="DT109">
        <v>0</v>
      </c>
      <c r="DU109">
        <v>0</v>
      </c>
      <c r="DV109">
        <v>475</v>
      </c>
      <c r="DW109">
        <v>540</v>
      </c>
      <c r="DX109">
        <v>912</v>
      </c>
      <c r="DY109">
        <v>904</v>
      </c>
      <c r="DZ109">
        <v>428</v>
      </c>
      <c r="EA109">
        <v>375</v>
      </c>
      <c r="EB109">
        <v>179</v>
      </c>
      <c r="EC109">
        <v>150</v>
      </c>
      <c r="ED109">
        <v>153</v>
      </c>
      <c r="EE109">
        <v>145</v>
      </c>
      <c r="EF109">
        <v>216</v>
      </c>
      <c r="EG109">
        <v>216</v>
      </c>
      <c r="EH109">
        <v>81</v>
      </c>
      <c r="EI109">
        <v>86</v>
      </c>
      <c r="EJ109">
        <v>427</v>
      </c>
      <c r="EK109">
        <v>713</v>
      </c>
      <c r="EL109">
        <v>368</v>
      </c>
      <c r="EM109">
        <v>132</v>
      </c>
      <c r="EN109">
        <v>105</v>
      </c>
      <c r="EO109">
        <v>189</v>
      </c>
      <c r="EP109">
        <v>61</v>
      </c>
      <c r="EQ109">
        <v>6259</v>
      </c>
      <c r="ER109">
        <v>6130</v>
      </c>
      <c r="ES109">
        <v>129</v>
      </c>
      <c r="ET109">
        <v>1623</v>
      </c>
      <c r="EU109">
        <v>2678</v>
      </c>
      <c r="EV109">
        <v>2663</v>
      </c>
      <c r="EW109">
        <v>15</v>
      </c>
      <c r="EX109">
        <v>5417</v>
      </c>
      <c r="EY109" s="26">
        <v>64.543622999999997</v>
      </c>
      <c r="EZ109" s="26">
        <v>7.3609169999999997</v>
      </c>
      <c r="FA109" s="26">
        <v>8.0892610000000005</v>
      </c>
      <c r="FB109" s="26">
        <v>19.556795000000001</v>
      </c>
      <c r="FC109" s="26">
        <v>0.449403</v>
      </c>
      <c r="FD109">
        <v>901</v>
      </c>
      <c r="FE109">
        <v>3494</v>
      </c>
      <c r="FF109">
        <v>391</v>
      </c>
      <c r="FG109">
        <v>1926</v>
      </c>
      <c r="FH109">
        <v>2</v>
      </c>
      <c r="FI109">
        <v>1384</v>
      </c>
      <c r="FJ109">
        <v>837</v>
      </c>
      <c r="FK109" s="26" t="s">
        <v>359</v>
      </c>
      <c r="FL109" s="26" t="s">
        <v>359</v>
      </c>
      <c r="FM109" s="26" t="s">
        <v>359</v>
      </c>
      <c r="FN109" s="26" t="s">
        <v>359</v>
      </c>
      <c r="FO109" s="28">
        <v>4008</v>
      </c>
      <c r="FP109" s="28">
        <v>6651</v>
      </c>
      <c r="FQ109">
        <v>293</v>
      </c>
      <c r="FR109">
        <v>243</v>
      </c>
      <c r="FS109">
        <v>61</v>
      </c>
      <c r="FT109">
        <v>17</v>
      </c>
      <c r="FU109">
        <v>3330</v>
      </c>
      <c r="FV109">
        <v>10</v>
      </c>
      <c r="FW109">
        <v>17</v>
      </c>
      <c r="FX109">
        <v>5</v>
      </c>
      <c r="FY109">
        <v>4324</v>
      </c>
      <c r="FZ109">
        <v>6431</v>
      </c>
      <c r="GA109">
        <v>280</v>
      </c>
      <c r="GB109">
        <v>291</v>
      </c>
      <c r="GC109">
        <v>70</v>
      </c>
      <c r="GD109">
        <v>14</v>
      </c>
      <c r="GE109">
        <v>3604</v>
      </c>
      <c r="GF109">
        <v>9</v>
      </c>
      <c r="GG109">
        <v>14</v>
      </c>
      <c r="GH109">
        <v>7</v>
      </c>
      <c r="GI109">
        <v>390</v>
      </c>
      <c r="GJ109">
        <v>471</v>
      </c>
      <c r="GK109">
        <v>462</v>
      </c>
      <c r="GL109">
        <v>426</v>
      </c>
      <c r="GM109">
        <v>262</v>
      </c>
      <c r="GN109">
        <v>247</v>
      </c>
      <c r="GO109">
        <v>246</v>
      </c>
      <c r="GP109">
        <v>258</v>
      </c>
      <c r="GQ109">
        <v>240</v>
      </c>
      <c r="GR109">
        <v>226</v>
      </c>
      <c r="GS109">
        <v>180</v>
      </c>
      <c r="GT109">
        <v>132</v>
      </c>
      <c r="GU109">
        <v>128</v>
      </c>
      <c r="GV109">
        <v>98</v>
      </c>
      <c r="GW109">
        <v>76</v>
      </c>
      <c r="GX109">
        <v>68</v>
      </c>
      <c r="GY109">
        <v>48</v>
      </c>
      <c r="GZ109">
        <v>49</v>
      </c>
      <c r="HA109">
        <v>397</v>
      </c>
      <c r="HB109">
        <v>453</v>
      </c>
      <c r="HC109">
        <v>430</v>
      </c>
      <c r="HD109">
        <v>405</v>
      </c>
      <c r="HE109">
        <v>291</v>
      </c>
      <c r="HF109">
        <v>318</v>
      </c>
      <c r="HG109">
        <v>343</v>
      </c>
      <c r="HH109">
        <v>330</v>
      </c>
      <c r="HI109">
        <v>321</v>
      </c>
      <c r="HJ109">
        <v>238</v>
      </c>
      <c r="HK109">
        <v>194</v>
      </c>
      <c r="HL109">
        <v>154</v>
      </c>
      <c r="HM109">
        <v>118</v>
      </c>
      <c r="HN109">
        <v>121</v>
      </c>
      <c r="HO109">
        <v>68</v>
      </c>
      <c r="HP109">
        <v>64</v>
      </c>
      <c r="HQ109">
        <v>40</v>
      </c>
      <c r="HR109">
        <v>39</v>
      </c>
      <c r="HS109">
        <v>4957</v>
      </c>
      <c r="HT109">
        <v>1</v>
      </c>
      <c r="HU109">
        <v>3</v>
      </c>
      <c r="HV109">
        <v>0</v>
      </c>
      <c r="HW109">
        <v>8</v>
      </c>
      <c r="HX109">
        <v>0</v>
      </c>
      <c r="HY109">
        <v>5</v>
      </c>
      <c r="HZ109">
        <v>1</v>
      </c>
      <c r="IA109">
        <v>566</v>
      </c>
      <c r="IB109">
        <v>1063</v>
      </c>
      <c r="IC109">
        <v>1262</v>
      </c>
      <c r="ID109">
        <v>1291</v>
      </c>
      <c r="IE109">
        <v>776</v>
      </c>
      <c r="IF109">
        <v>419</v>
      </c>
      <c r="IG109">
        <v>218</v>
      </c>
      <c r="IH109">
        <v>90</v>
      </c>
      <c r="II109">
        <v>100</v>
      </c>
      <c r="IJ109">
        <v>1031</v>
      </c>
      <c r="IK109">
        <v>1747</v>
      </c>
      <c r="IL109">
        <v>1544</v>
      </c>
      <c r="IM109">
        <v>934</v>
      </c>
      <c r="IN109">
        <v>412</v>
      </c>
      <c r="IO109">
        <v>88</v>
      </c>
      <c r="IP109">
        <v>11</v>
      </c>
      <c r="IQ109">
        <v>6</v>
      </c>
      <c r="IR109">
        <v>11</v>
      </c>
      <c r="IS109">
        <v>3336</v>
      </c>
      <c r="IT109">
        <v>1821</v>
      </c>
      <c r="IU109">
        <v>525</v>
      </c>
      <c r="IV109">
        <v>90</v>
      </c>
      <c r="IW109">
        <v>12</v>
      </c>
      <c r="IX109">
        <v>4039</v>
      </c>
      <c r="IY109">
        <v>306</v>
      </c>
      <c r="IZ109">
        <v>4</v>
      </c>
      <c r="JA109">
        <v>50</v>
      </c>
      <c r="JB109">
        <v>1</v>
      </c>
      <c r="JC109">
        <v>341</v>
      </c>
      <c r="JD109">
        <v>5528</v>
      </c>
      <c r="JE109">
        <v>255</v>
      </c>
      <c r="JF109">
        <v>2</v>
      </c>
      <c r="JH109" s="28">
        <v>8882.5222255595872</v>
      </c>
      <c r="JI109" s="28">
        <v>656.03704613893842</v>
      </c>
      <c r="JJ109">
        <v>725</v>
      </c>
      <c r="JK109">
        <v>4588</v>
      </c>
      <c r="JL109">
        <v>471</v>
      </c>
      <c r="JM109">
        <v>1</v>
      </c>
      <c r="JN109">
        <v>3800</v>
      </c>
      <c r="JO109">
        <v>2350</v>
      </c>
      <c r="JP109">
        <v>586</v>
      </c>
      <c r="JQ109">
        <v>1530</v>
      </c>
      <c r="JR109">
        <v>3757</v>
      </c>
      <c r="JS109">
        <v>342</v>
      </c>
      <c r="JT109">
        <v>120</v>
      </c>
      <c r="JU109">
        <v>2744</v>
      </c>
      <c r="JV109">
        <v>718</v>
      </c>
      <c r="JW109" s="28"/>
      <c r="JX109" s="28"/>
      <c r="JY109" s="28"/>
      <c r="JZ109" s="28"/>
      <c r="KA109" s="28">
        <v>5548.0000043</v>
      </c>
      <c r="KB109">
        <v>18358</v>
      </c>
      <c r="KC109">
        <v>3</v>
      </c>
      <c r="KD109">
        <v>7</v>
      </c>
      <c r="KE109">
        <v>0</v>
      </c>
      <c r="KF109">
        <v>24</v>
      </c>
      <c r="KG109">
        <v>0</v>
      </c>
      <c r="KH109">
        <v>10</v>
      </c>
      <c r="KI109">
        <v>2</v>
      </c>
      <c r="KJ109">
        <v>2810</v>
      </c>
      <c r="KK109">
        <v>16868</v>
      </c>
      <c r="KL109">
        <v>1586</v>
      </c>
      <c r="KM109">
        <v>1</v>
      </c>
      <c r="KT109">
        <v>3117</v>
      </c>
      <c r="KU109">
        <v>2987</v>
      </c>
      <c r="KV109">
        <v>2538</v>
      </c>
      <c r="KW109">
        <v>366</v>
      </c>
      <c r="KX109">
        <v>73</v>
      </c>
      <c r="KZ109">
        <v>2428</v>
      </c>
      <c r="LA109">
        <v>352</v>
      </c>
      <c r="LB109">
        <v>103</v>
      </c>
      <c r="LD109">
        <v>1674</v>
      </c>
      <c r="LE109">
        <v>1656</v>
      </c>
      <c r="LF109">
        <v>874</v>
      </c>
      <c r="LG109">
        <v>1185</v>
      </c>
      <c r="LH109">
        <v>14757</v>
      </c>
      <c r="LI109">
        <v>23</v>
      </c>
      <c r="LJ109">
        <v>1298</v>
      </c>
      <c r="LK109">
        <v>267</v>
      </c>
      <c r="LL109">
        <v>1471</v>
      </c>
      <c r="LM109">
        <v>2</v>
      </c>
      <c r="LN109">
        <v>773</v>
      </c>
      <c r="LO109">
        <v>345</v>
      </c>
      <c r="LP109">
        <v>20</v>
      </c>
      <c r="LQ109">
        <v>1269</v>
      </c>
      <c r="LR109">
        <v>248</v>
      </c>
      <c r="LS109">
        <v>1704</v>
      </c>
      <c r="LT109">
        <v>1</v>
      </c>
      <c r="LU109">
        <v>782</v>
      </c>
      <c r="LV109">
        <v>283</v>
      </c>
      <c r="LW109" s="44"/>
      <c r="LX109" s="44"/>
      <c r="LY109" s="44"/>
      <c r="LZ109">
        <v>5785</v>
      </c>
      <c r="MA109">
        <v>21265</v>
      </c>
      <c r="MB109">
        <v>41305</v>
      </c>
      <c r="MC109">
        <v>7354</v>
      </c>
      <c r="MD109" s="26">
        <v>13.9527</v>
      </c>
      <c r="ME109" s="26">
        <v>6.6423549999999993</v>
      </c>
      <c r="MF109" s="26">
        <v>54.767229</v>
      </c>
      <c r="MG109" s="26">
        <v>61.056659999999994</v>
      </c>
      <c r="MH109" s="26">
        <v>12.532411</v>
      </c>
      <c r="MI109" s="26">
        <v>3.8202249999999998</v>
      </c>
      <c r="MJ109" s="26">
        <v>5.2376839999999998</v>
      </c>
      <c r="MK109" s="26">
        <v>4.4079519999999999</v>
      </c>
      <c r="ML109" s="26">
        <v>4.0968019999999994</v>
      </c>
      <c r="MM109" s="26">
        <v>59.377700999999995</v>
      </c>
      <c r="MN109" s="26">
        <v>34.312877999999998</v>
      </c>
      <c r="MO109" s="26">
        <v>0.32236199999999998</v>
      </c>
      <c r="MP109" t="s">
        <v>1029</v>
      </c>
      <c r="MQ109">
        <v>723</v>
      </c>
      <c r="MR109">
        <v>70</v>
      </c>
    </row>
    <row r="110" spans="1:356">
      <c r="A110" t="s">
        <v>223</v>
      </c>
      <c r="B110" t="s">
        <v>224</v>
      </c>
      <c r="C110">
        <v>33161</v>
      </c>
      <c r="D110">
        <v>40268</v>
      </c>
      <c r="E110">
        <v>48162</v>
      </c>
      <c r="F110">
        <f t="shared" si="6"/>
        <v>7894</v>
      </c>
      <c r="G110" s="26">
        <f t="shared" si="7"/>
        <v>19.603655508095756</v>
      </c>
      <c r="H110">
        <v>23308</v>
      </c>
      <c r="I110">
        <v>24854</v>
      </c>
      <c r="J110">
        <v>8464</v>
      </c>
      <c r="K110">
        <v>39698</v>
      </c>
      <c r="L110">
        <v>3278</v>
      </c>
      <c r="M110">
        <v>3376</v>
      </c>
      <c r="N110">
        <v>3167</v>
      </c>
      <c r="O110">
        <v>2449</v>
      </c>
      <c r="P110">
        <v>2056</v>
      </c>
      <c r="Q110">
        <v>1651</v>
      </c>
      <c r="R110">
        <v>1443</v>
      </c>
      <c r="S110">
        <v>1314</v>
      </c>
      <c r="T110">
        <v>1045</v>
      </c>
      <c r="U110">
        <v>875</v>
      </c>
      <c r="V110">
        <v>636</v>
      </c>
      <c r="W110">
        <v>594</v>
      </c>
      <c r="X110">
        <v>442</v>
      </c>
      <c r="Y110">
        <v>982</v>
      </c>
      <c r="Z110">
        <v>0</v>
      </c>
      <c r="AA110">
        <v>3328</v>
      </c>
      <c r="AB110">
        <v>3552</v>
      </c>
      <c r="AC110">
        <v>3236</v>
      </c>
      <c r="AD110">
        <v>2553</v>
      </c>
      <c r="AE110">
        <v>2080</v>
      </c>
      <c r="AF110">
        <v>1846</v>
      </c>
      <c r="AG110">
        <v>1720</v>
      </c>
      <c r="AH110">
        <v>1517</v>
      </c>
      <c r="AI110">
        <v>1174</v>
      </c>
      <c r="AJ110">
        <v>958</v>
      </c>
      <c r="AK110">
        <v>717</v>
      </c>
      <c r="AL110">
        <v>681</v>
      </c>
      <c r="AM110">
        <v>459</v>
      </c>
      <c r="AN110">
        <v>1033</v>
      </c>
      <c r="AO110">
        <v>0</v>
      </c>
      <c r="AP110">
        <v>48087</v>
      </c>
      <c r="AQ110">
        <v>55</v>
      </c>
      <c r="AR110">
        <v>4</v>
      </c>
      <c r="AS110">
        <v>4</v>
      </c>
      <c r="AT110">
        <v>12</v>
      </c>
      <c r="AU110">
        <v>43341</v>
      </c>
      <c r="AV110">
        <v>20976</v>
      </c>
      <c r="AW110">
        <v>22365</v>
      </c>
      <c r="AX110">
        <v>25243</v>
      </c>
      <c r="AY110">
        <v>36353</v>
      </c>
      <c r="AZ110">
        <v>34085</v>
      </c>
      <c r="BA110">
        <v>2268</v>
      </c>
      <c r="BB110">
        <v>1348</v>
      </c>
      <c r="BC110">
        <v>1363</v>
      </c>
      <c r="BD110">
        <v>3287</v>
      </c>
      <c r="BE110">
        <v>3465</v>
      </c>
      <c r="BF110">
        <v>3094</v>
      </c>
      <c r="BG110">
        <v>3165</v>
      </c>
      <c r="BH110">
        <v>2402</v>
      </c>
      <c r="BI110">
        <v>2490</v>
      </c>
      <c r="BJ110">
        <v>2026</v>
      </c>
      <c r="BK110">
        <v>2018</v>
      </c>
      <c r="BL110">
        <v>1618</v>
      </c>
      <c r="BM110">
        <v>1788</v>
      </c>
      <c r="BN110">
        <v>1416</v>
      </c>
      <c r="BO110">
        <v>1675</v>
      </c>
      <c r="BP110">
        <v>1293</v>
      </c>
      <c r="BQ110">
        <v>1487</v>
      </c>
      <c r="BR110">
        <v>1027</v>
      </c>
      <c r="BS110">
        <v>1151</v>
      </c>
      <c r="BT110">
        <v>857</v>
      </c>
      <c r="BU110">
        <v>933</v>
      </c>
      <c r="BV110">
        <v>621</v>
      </c>
      <c r="BW110">
        <v>696</v>
      </c>
      <c r="BX110">
        <v>582</v>
      </c>
      <c r="BY110">
        <v>668</v>
      </c>
      <c r="BZ110">
        <v>434</v>
      </c>
      <c r="CA110">
        <v>454</v>
      </c>
      <c r="CB110">
        <v>971</v>
      </c>
      <c r="CC110">
        <v>1012</v>
      </c>
      <c r="CD110">
        <v>13008</v>
      </c>
      <c r="CE110">
        <v>9140</v>
      </c>
      <c r="CF110">
        <v>7340</v>
      </c>
      <c r="CG110">
        <v>12507</v>
      </c>
      <c r="CH110">
        <v>7691</v>
      </c>
      <c r="CI110">
        <v>1515</v>
      </c>
      <c r="CJ110">
        <v>42218</v>
      </c>
      <c r="CK110">
        <v>5892</v>
      </c>
      <c r="CL110">
        <v>427</v>
      </c>
      <c r="CM110">
        <v>1017</v>
      </c>
      <c r="CN110">
        <v>1165</v>
      </c>
      <c r="CO110">
        <v>1408</v>
      </c>
      <c r="CP110">
        <v>1405</v>
      </c>
      <c r="CQ110">
        <v>3784</v>
      </c>
      <c r="CR110">
        <v>7493</v>
      </c>
      <c r="CS110">
        <v>26156</v>
      </c>
      <c r="CT110">
        <v>2974</v>
      </c>
      <c r="CU110">
        <v>1209</v>
      </c>
      <c r="CV110">
        <v>363</v>
      </c>
      <c r="CW110">
        <v>702</v>
      </c>
      <c r="CX110">
        <v>6</v>
      </c>
      <c r="CY110">
        <v>6567</v>
      </c>
      <c r="CZ110">
        <v>2205</v>
      </c>
      <c r="DA110">
        <v>3</v>
      </c>
      <c r="DB110">
        <v>427</v>
      </c>
      <c r="DC110">
        <v>3</v>
      </c>
      <c r="DD110">
        <v>511</v>
      </c>
      <c r="DE110">
        <v>2669</v>
      </c>
      <c r="DF110">
        <v>5089</v>
      </c>
      <c r="DG110">
        <v>31429</v>
      </c>
      <c r="DH110">
        <v>8464</v>
      </c>
      <c r="DI110">
        <v>0</v>
      </c>
      <c r="DJ110">
        <v>0</v>
      </c>
      <c r="DK110">
        <v>0</v>
      </c>
      <c r="DL110">
        <v>0</v>
      </c>
      <c r="DM110">
        <v>7</v>
      </c>
      <c r="DN110">
        <v>15</v>
      </c>
      <c r="DO110">
        <v>13</v>
      </c>
      <c r="DP110">
        <v>28</v>
      </c>
      <c r="DQ110">
        <v>3</v>
      </c>
      <c r="DR110">
        <v>0</v>
      </c>
      <c r="DS110">
        <v>0</v>
      </c>
      <c r="DT110">
        <v>0</v>
      </c>
      <c r="DU110">
        <v>0</v>
      </c>
      <c r="DV110">
        <v>594</v>
      </c>
      <c r="DW110">
        <v>728</v>
      </c>
      <c r="DX110">
        <v>846</v>
      </c>
      <c r="DY110">
        <v>909</v>
      </c>
      <c r="DZ110">
        <v>511</v>
      </c>
      <c r="EA110">
        <v>585</v>
      </c>
      <c r="EB110">
        <v>263</v>
      </c>
      <c r="EC110">
        <v>249</v>
      </c>
      <c r="ED110">
        <v>262</v>
      </c>
      <c r="EE110">
        <v>278</v>
      </c>
      <c r="EF110">
        <v>278</v>
      </c>
      <c r="EG110">
        <v>339</v>
      </c>
      <c r="EH110">
        <v>105</v>
      </c>
      <c r="EI110">
        <v>101</v>
      </c>
      <c r="EJ110">
        <v>1152</v>
      </c>
      <c r="EK110">
        <v>1531</v>
      </c>
      <c r="EL110">
        <v>954</v>
      </c>
      <c r="EM110">
        <v>433</v>
      </c>
      <c r="EN110">
        <v>460</v>
      </c>
      <c r="EO110">
        <v>524</v>
      </c>
      <c r="EP110">
        <v>177</v>
      </c>
      <c r="EQ110">
        <v>9989</v>
      </c>
      <c r="ER110">
        <v>9483</v>
      </c>
      <c r="ES110">
        <v>506</v>
      </c>
      <c r="ET110">
        <v>5278</v>
      </c>
      <c r="EU110">
        <v>4861</v>
      </c>
      <c r="EV110">
        <v>4734</v>
      </c>
      <c r="EW110">
        <v>127</v>
      </c>
      <c r="EX110">
        <v>11619</v>
      </c>
      <c r="EY110" s="26">
        <v>85.263817000000003</v>
      </c>
      <c r="EZ110" s="26">
        <v>4.6846719999999999</v>
      </c>
      <c r="FA110" s="26">
        <v>4.6150630000000001</v>
      </c>
      <c r="FB110" s="26">
        <v>5.2345819999999996</v>
      </c>
      <c r="FC110" s="26">
        <v>0.20186599999999999</v>
      </c>
      <c r="FD110">
        <v>1515</v>
      </c>
      <c r="FE110">
        <v>8291</v>
      </c>
      <c r="FF110">
        <v>611</v>
      </c>
      <c r="FG110">
        <v>3010</v>
      </c>
      <c r="FH110">
        <v>3</v>
      </c>
      <c r="FI110">
        <v>1270</v>
      </c>
      <c r="FJ110">
        <v>146</v>
      </c>
      <c r="FK110" s="26" t="s">
        <v>359</v>
      </c>
      <c r="FL110" s="26" t="s">
        <v>359</v>
      </c>
      <c r="FM110" s="26" t="s">
        <v>359</v>
      </c>
      <c r="FN110" s="26" t="s">
        <v>359</v>
      </c>
      <c r="FO110" s="28">
        <v>19866</v>
      </c>
      <c r="FP110" s="28">
        <v>3434</v>
      </c>
      <c r="FQ110">
        <v>2397</v>
      </c>
      <c r="FR110">
        <v>38</v>
      </c>
      <c r="FS110">
        <v>9</v>
      </c>
      <c r="FT110">
        <v>7</v>
      </c>
      <c r="FU110">
        <v>13867</v>
      </c>
      <c r="FV110">
        <v>161</v>
      </c>
      <c r="FW110">
        <v>417</v>
      </c>
      <c r="FX110">
        <v>8</v>
      </c>
      <c r="FY110">
        <v>21440</v>
      </c>
      <c r="FZ110">
        <v>3405</v>
      </c>
      <c r="GA110">
        <v>2468</v>
      </c>
      <c r="GB110">
        <v>35</v>
      </c>
      <c r="GC110">
        <v>16</v>
      </c>
      <c r="GD110">
        <v>8</v>
      </c>
      <c r="GE110">
        <v>15242</v>
      </c>
      <c r="GF110">
        <v>145</v>
      </c>
      <c r="GG110">
        <v>456</v>
      </c>
      <c r="GH110">
        <v>9</v>
      </c>
      <c r="GI110">
        <v>2406</v>
      </c>
      <c r="GJ110">
        <v>2996</v>
      </c>
      <c r="GK110">
        <v>2838</v>
      </c>
      <c r="GL110">
        <v>2121</v>
      </c>
      <c r="GM110">
        <v>1672</v>
      </c>
      <c r="GN110">
        <v>1390</v>
      </c>
      <c r="GO110">
        <v>1262</v>
      </c>
      <c r="GP110">
        <v>1176</v>
      </c>
      <c r="GQ110">
        <v>936</v>
      </c>
      <c r="GR110">
        <v>773</v>
      </c>
      <c r="GS110">
        <v>566</v>
      </c>
      <c r="GT110">
        <v>510</v>
      </c>
      <c r="GU110">
        <v>368</v>
      </c>
      <c r="GV110">
        <v>344</v>
      </c>
      <c r="GW110">
        <v>189</v>
      </c>
      <c r="GX110">
        <v>130</v>
      </c>
      <c r="GY110">
        <v>95</v>
      </c>
      <c r="GZ110">
        <v>94</v>
      </c>
      <c r="HA110">
        <v>2473</v>
      </c>
      <c r="HB110">
        <v>3138</v>
      </c>
      <c r="HC110">
        <v>2899</v>
      </c>
      <c r="HD110">
        <v>2136</v>
      </c>
      <c r="HE110">
        <v>1704</v>
      </c>
      <c r="HF110">
        <v>1638</v>
      </c>
      <c r="HG110">
        <v>1550</v>
      </c>
      <c r="HH110">
        <v>1379</v>
      </c>
      <c r="HI110">
        <v>1061</v>
      </c>
      <c r="HJ110">
        <v>883</v>
      </c>
      <c r="HK110">
        <v>655</v>
      </c>
      <c r="HL110">
        <v>606</v>
      </c>
      <c r="HM110">
        <v>400</v>
      </c>
      <c r="HN110">
        <v>359</v>
      </c>
      <c r="HO110">
        <v>225</v>
      </c>
      <c r="HP110">
        <v>140</v>
      </c>
      <c r="HQ110">
        <v>92</v>
      </c>
      <c r="HR110">
        <v>102</v>
      </c>
      <c r="HS110">
        <v>8714</v>
      </c>
      <c r="HT110">
        <v>0</v>
      </c>
      <c r="HU110">
        <v>2</v>
      </c>
      <c r="HV110">
        <v>0</v>
      </c>
      <c r="HW110">
        <v>5</v>
      </c>
      <c r="HX110">
        <v>0</v>
      </c>
      <c r="HY110">
        <v>1</v>
      </c>
      <c r="HZ110">
        <v>1</v>
      </c>
      <c r="IA110">
        <v>427</v>
      </c>
      <c r="IB110">
        <v>1014</v>
      </c>
      <c r="IC110">
        <v>1164</v>
      </c>
      <c r="ID110">
        <v>1407</v>
      </c>
      <c r="IE110">
        <v>1404</v>
      </c>
      <c r="IF110">
        <v>1235</v>
      </c>
      <c r="IG110">
        <v>905</v>
      </c>
      <c r="IH110">
        <v>602</v>
      </c>
      <c r="II110">
        <v>1042</v>
      </c>
      <c r="IJ110">
        <v>304</v>
      </c>
      <c r="IK110">
        <v>3117</v>
      </c>
      <c r="IL110">
        <v>3780</v>
      </c>
      <c r="IM110">
        <v>1239</v>
      </c>
      <c r="IN110">
        <v>505</v>
      </c>
      <c r="IO110">
        <v>139</v>
      </c>
      <c r="IP110">
        <v>75</v>
      </c>
      <c r="IQ110">
        <v>19</v>
      </c>
      <c r="IR110">
        <v>21</v>
      </c>
      <c r="IS110">
        <v>3448</v>
      </c>
      <c r="IT110">
        <v>3926</v>
      </c>
      <c r="IU110">
        <v>1179</v>
      </c>
      <c r="IV110">
        <v>453</v>
      </c>
      <c r="IW110">
        <v>194</v>
      </c>
      <c r="IX110">
        <v>1713</v>
      </c>
      <c r="IY110">
        <v>4703</v>
      </c>
      <c r="IZ110">
        <v>20</v>
      </c>
      <c r="JA110">
        <v>47</v>
      </c>
      <c r="JB110">
        <v>0</v>
      </c>
      <c r="JC110">
        <v>531</v>
      </c>
      <c r="JD110">
        <v>7166</v>
      </c>
      <c r="JE110">
        <v>2034</v>
      </c>
      <c r="JF110">
        <v>0</v>
      </c>
      <c r="JH110" s="28">
        <v>6826.5183956491119</v>
      </c>
      <c r="JI110" s="28">
        <v>273.1389278417422</v>
      </c>
      <c r="JJ110">
        <v>1241</v>
      </c>
      <c r="JK110">
        <v>7873</v>
      </c>
      <c r="JL110">
        <v>86</v>
      </c>
      <c r="JM110">
        <v>0</v>
      </c>
      <c r="JN110">
        <v>469</v>
      </c>
      <c r="JO110">
        <v>140</v>
      </c>
      <c r="JP110">
        <v>467</v>
      </c>
      <c r="JQ110">
        <v>4418</v>
      </c>
      <c r="JR110">
        <v>4988</v>
      </c>
      <c r="JS110">
        <v>72</v>
      </c>
      <c r="JT110">
        <v>828</v>
      </c>
      <c r="JU110">
        <v>2882</v>
      </c>
      <c r="JV110">
        <v>107</v>
      </c>
      <c r="JW110" s="28"/>
      <c r="JX110" s="28"/>
      <c r="JY110" s="28"/>
      <c r="JZ110" s="28"/>
      <c r="KA110" s="28">
        <v>9056.999984</v>
      </c>
      <c r="KB110">
        <v>46070</v>
      </c>
      <c r="KC110">
        <v>0</v>
      </c>
      <c r="KD110">
        <v>5</v>
      </c>
      <c r="KE110">
        <v>0</v>
      </c>
      <c r="KF110">
        <v>16</v>
      </c>
      <c r="KG110">
        <v>0</v>
      </c>
      <c r="KH110">
        <v>2</v>
      </c>
      <c r="KI110">
        <v>2</v>
      </c>
      <c r="KJ110">
        <v>6002</v>
      </c>
      <c r="KK110">
        <v>41718</v>
      </c>
      <c r="KL110">
        <v>372</v>
      </c>
      <c r="KM110">
        <v>0</v>
      </c>
      <c r="KT110">
        <v>7500</v>
      </c>
      <c r="KU110">
        <v>7079</v>
      </c>
      <c r="KV110">
        <v>6789</v>
      </c>
      <c r="KW110">
        <v>436</v>
      </c>
      <c r="KX110">
        <v>63</v>
      </c>
      <c r="KZ110">
        <v>6561</v>
      </c>
      <c r="LA110">
        <v>279</v>
      </c>
      <c r="LB110">
        <v>31</v>
      </c>
      <c r="LD110">
        <v>4262</v>
      </c>
      <c r="LE110">
        <v>4416</v>
      </c>
      <c r="LF110">
        <v>1567</v>
      </c>
      <c r="LG110">
        <v>3877</v>
      </c>
      <c r="LH110">
        <v>28225</v>
      </c>
      <c r="LI110">
        <v>42</v>
      </c>
      <c r="LJ110">
        <v>4530</v>
      </c>
      <c r="LK110">
        <v>731</v>
      </c>
      <c r="LL110">
        <v>3071</v>
      </c>
      <c r="LM110">
        <v>3</v>
      </c>
      <c r="LN110">
        <v>1234</v>
      </c>
      <c r="LO110">
        <v>94</v>
      </c>
      <c r="LP110">
        <v>72</v>
      </c>
      <c r="LQ110">
        <v>5330</v>
      </c>
      <c r="LR110">
        <v>497</v>
      </c>
      <c r="LS110">
        <v>2239</v>
      </c>
      <c r="LT110">
        <v>1</v>
      </c>
      <c r="LU110">
        <v>574</v>
      </c>
      <c r="LV110">
        <v>56</v>
      </c>
      <c r="LW110" s="44"/>
      <c r="LX110" s="44"/>
      <c r="LY110" s="44"/>
      <c r="LZ110">
        <v>9200</v>
      </c>
      <c r="MA110">
        <v>48092</v>
      </c>
      <c r="MB110">
        <v>43593</v>
      </c>
      <c r="MC110">
        <v>39427</v>
      </c>
      <c r="MD110" s="26">
        <v>19.287865</v>
      </c>
      <c r="ME110" s="26">
        <v>12.136206999999999</v>
      </c>
      <c r="MF110" s="26">
        <v>71.142603999999992</v>
      </c>
      <c r="MG110" s="26">
        <v>14.199992</v>
      </c>
      <c r="MH110" s="26">
        <v>13.489129999999999</v>
      </c>
      <c r="MI110" s="26">
        <v>1.4456519999999999</v>
      </c>
      <c r="MJ110" s="26">
        <v>5.663043</v>
      </c>
      <c r="MK110" s="26">
        <v>22.108695999999998</v>
      </c>
      <c r="ML110" s="26">
        <v>1.5543479999999998</v>
      </c>
      <c r="MM110" s="26">
        <v>98.478260999999989</v>
      </c>
      <c r="MN110" s="26">
        <v>94.902174000000002</v>
      </c>
      <c r="MO110" s="26">
        <v>1.6834089999999999</v>
      </c>
      <c r="MP110" t="s">
        <v>1028</v>
      </c>
      <c r="MQ110">
        <v>177</v>
      </c>
      <c r="MR110">
        <v>20</v>
      </c>
    </row>
    <row r="111" spans="1:356">
      <c r="A111" t="s">
        <v>225</v>
      </c>
      <c r="B111" t="s">
        <v>226</v>
      </c>
      <c r="C111">
        <v>26996</v>
      </c>
      <c r="D111">
        <v>37607</v>
      </c>
      <c r="E111">
        <v>49499</v>
      </c>
      <c r="F111">
        <f t="shared" si="6"/>
        <v>11892</v>
      </c>
      <c r="G111" s="26">
        <f t="shared" si="7"/>
        <v>31.621772542345838</v>
      </c>
      <c r="H111">
        <v>23944</v>
      </c>
      <c r="I111">
        <v>25555</v>
      </c>
      <c r="J111">
        <v>25636</v>
      </c>
      <c r="K111">
        <v>23863</v>
      </c>
      <c r="L111">
        <v>2831</v>
      </c>
      <c r="M111">
        <v>3105</v>
      </c>
      <c r="N111">
        <v>3009</v>
      </c>
      <c r="O111">
        <v>2520</v>
      </c>
      <c r="P111">
        <v>2175</v>
      </c>
      <c r="Q111">
        <v>1830</v>
      </c>
      <c r="R111">
        <v>1600</v>
      </c>
      <c r="S111">
        <v>1509</v>
      </c>
      <c r="T111">
        <v>1188</v>
      </c>
      <c r="U111">
        <v>974</v>
      </c>
      <c r="V111">
        <v>791</v>
      </c>
      <c r="W111">
        <v>674</v>
      </c>
      <c r="X111">
        <v>543</v>
      </c>
      <c r="Y111">
        <v>1195</v>
      </c>
      <c r="Z111">
        <v>0</v>
      </c>
      <c r="AA111">
        <v>2886</v>
      </c>
      <c r="AB111">
        <v>3112</v>
      </c>
      <c r="AC111">
        <v>2965</v>
      </c>
      <c r="AD111">
        <v>2725</v>
      </c>
      <c r="AE111">
        <v>2320</v>
      </c>
      <c r="AF111">
        <v>2148</v>
      </c>
      <c r="AG111">
        <v>1887</v>
      </c>
      <c r="AH111">
        <v>1674</v>
      </c>
      <c r="AI111">
        <v>1363</v>
      </c>
      <c r="AJ111">
        <v>1090</v>
      </c>
      <c r="AK111">
        <v>875</v>
      </c>
      <c r="AL111">
        <v>735</v>
      </c>
      <c r="AM111">
        <v>599</v>
      </c>
      <c r="AN111">
        <v>1176</v>
      </c>
      <c r="AO111">
        <v>0</v>
      </c>
      <c r="AP111">
        <v>49090</v>
      </c>
      <c r="AQ111">
        <v>336</v>
      </c>
      <c r="AR111">
        <v>23</v>
      </c>
      <c r="AS111">
        <v>36</v>
      </c>
      <c r="AT111">
        <v>14</v>
      </c>
      <c r="AU111">
        <v>20712</v>
      </c>
      <c r="AV111">
        <v>9982</v>
      </c>
      <c r="AW111">
        <v>10730</v>
      </c>
      <c r="AX111">
        <v>9565</v>
      </c>
      <c r="AY111">
        <v>14680</v>
      </c>
      <c r="AZ111">
        <v>13327</v>
      </c>
      <c r="BA111">
        <v>1353</v>
      </c>
      <c r="BB111">
        <v>520</v>
      </c>
      <c r="BC111">
        <v>538</v>
      </c>
      <c r="BD111">
        <v>1443</v>
      </c>
      <c r="BE111">
        <v>1451</v>
      </c>
      <c r="BF111">
        <v>1396</v>
      </c>
      <c r="BG111">
        <v>1372</v>
      </c>
      <c r="BH111">
        <v>1165</v>
      </c>
      <c r="BI111">
        <v>1301</v>
      </c>
      <c r="BJ111">
        <v>1026</v>
      </c>
      <c r="BK111">
        <v>1097</v>
      </c>
      <c r="BL111">
        <v>784</v>
      </c>
      <c r="BM111">
        <v>915</v>
      </c>
      <c r="BN111">
        <v>678</v>
      </c>
      <c r="BO111">
        <v>803</v>
      </c>
      <c r="BP111">
        <v>640</v>
      </c>
      <c r="BQ111">
        <v>706</v>
      </c>
      <c r="BR111">
        <v>511</v>
      </c>
      <c r="BS111">
        <v>554</v>
      </c>
      <c r="BT111">
        <v>393</v>
      </c>
      <c r="BU111">
        <v>489</v>
      </c>
      <c r="BV111">
        <v>349</v>
      </c>
      <c r="BW111">
        <v>377</v>
      </c>
      <c r="BX111">
        <v>302</v>
      </c>
      <c r="BY111">
        <v>341</v>
      </c>
      <c r="BZ111">
        <v>256</v>
      </c>
      <c r="CA111">
        <v>283</v>
      </c>
      <c r="CB111">
        <v>519</v>
      </c>
      <c r="CC111">
        <v>503</v>
      </c>
      <c r="CD111">
        <v>8120</v>
      </c>
      <c r="CE111">
        <v>7333</v>
      </c>
      <c r="CF111">
        <v>1822</v>
      </c>
      <c r="CG111">
        <v>3346</v>
      </c>
      <c r="CH111">
        <v>8709</v>
      </c>
      <c r="CI111">
        <v>2467</v>
      </c>
      <c r="CJ111">
        <v>40389</v>
      </c>
      <c r="CK111">
        <v>9091</v>
      </c>
      <c r="CL111">
        <v>741</v>
      </c>
      <c r="CM111">
        <v>1443</v>
      </c>
      <c r="CN111">
        <v>1985</v>
      </c>
      <c r="CO111">
        <v>2289</v>
      </c>
      <c r="CP111">
        <v>1737</v>
      </c>
      <c r="CQ111">
        <v>2981</v>
      </c>
      <c r="CR111">
        <v>8635</v>
      </c>
      <c r="CS111">
        <v>25105</v>
      </c>
      <c r="CT111">
        <v>2402</v>
      </c>
      <c r="CU111">
        <v>1029</v>
      </c>
      <c r="CV111">
        <v>349</v>
      </c>
      <c r="CW111">
        <v>721</v>
      </c>
      <c r="CX111">
        <v>63</v>
      </c>
      <c r="CY111">
        <v>8237</v>
      </c>
      <c r="CZ111">
        <v>2155</v>
      </c>
      <c r="DA111">
        <v>30</v>
      </c>
      <c r="DB111">
        <v>741</v>
      </c>
      <c r="DC111">
        <v>13</v>
      </c>
      <c r="DD111">
        <v>1292</v>
      </c>
      <c r="DE111">
        <v>3128</v>
      </c>
      <c r="DF111">
        <v>7108</v>
      </c>
      <c r="DG111">
        <v>12335</v>
      </c>
      <c r="DH111">
        <v>5592</v>
      </c>
      <c r="DI111">
        <v>0</v>
      </c>
      <c r="DJ111">
        <v>20044</v>
      </c>
      <c r="DK111">
        <v>0</v>
      </c>
      <c r="DL111">
        <v>0</v>
      </c>
      <c r="DM111">
        <v>53</v>
      </c>
      <c r="DN111">
        <v>17</v>
      </c>
      <c r="DO111">
        <v>19</v>
      </c>
      <c r="DP111">
        <v>17</v>
      </c>
      <c r="DQ111">
        <v>2</v>
      </c>
      <c r="DR111">
        <v>0</v>
      </c>
      <c r="DS111">
        <v>1</v>
      </c>
      <c r="DT111">
        <v>0</v>
      </c>
      <c r="DU111">
        <v>0</v>
      </c>
      <c r="DV111">
        <v>828</v>
      </c>
      <c r="DW111">
        <v>876</v>
      </c>
      <c r="DX111">
        <v>1245</v>
      </c>
      <c r="DY111">
        <v>1379</v>
      </c>
      <c r="DZ111">
        <v>709</v>
      </c>
      <c r="EA111">
        <v>669</v>
      </c>
      <c r="EB111">
        <v>330</v>
      </c>
      <c r="EC111">
        <v>266</v>
      </c>
      <c r="ED111">
        <v>263</v>
      </c>
      <c r="EE111">
        <v>284</v>
      </c>
      <c r="EF111">
        <v>464</v>
      </c>
      <c r="EG111">
        <v>530</v>
      </c>
      <c r="EH111">
        <v>242</v>
      </c>
      <c r="EI111">
        <v>180</v>
      </c>
      <c r="EJ111">
        <v>1245</v>
      </c>
      <c r="EK111">
        <v>1906</v>
      </c>
      <c r="EL111">
        <v>1008</v>
      </c>
      <c r="EM111">
        <v>416</v>
      </c>
      <c r="EN111">
        <v>387</v>
      </c>
      <c r="EO111">
        <v>716</v>
      </c>
      <c r="EP111">
        <v>280</v>
      </c>
      <c r="EQ111">
        <v>14271</v>
      </c>
      <c r="ER111">
        <v>13892</v>
      </c>
      <c r="ES111">
        <v>379</v>
      </c>
      <c r="ET111">
        <v>2435</v>
      </c>
      <c r="EU111">
        <v>8282</v>
      </c>
      <c r="EV111">
        <v>8251</v>
      </c>
      <c r="EW111">
        <v>31</v>
      </c>
      <c r="EX111">
        <v>9996</v>
      </c>
      <c r="EY111" s="26">
        <v>28.189392999999999</v>
      </c>
      <c r="EZ111" s="26">
        <v>33.654156999999998</v>
      </c>
      <c r="FA111" s="26">
        <v>14.353078</v>
      </c>
      <c r="FB111" s="26">
        <v>22.905497</v>
      </c>
      <c r="FC111" s="26">
        <v>0.89787499999999998</v>
      </c>
      <c r="FD111">
        <v>3961</v>
      </c>
      <c r="FE111">
        <v>11892</v>
      </c>
      <c r="FF111">
        <v>735</v>
      </c>
      <c r="FG111">
        <v>3089</v>
      </c>
      <c r="FH111">
        <v>8</v>
      </c>
      <c r="FI111">
        <v>1736</v>
      </c>
      <c r="FJ111">
        <v>1125</v>
      </c>
      <c r="FK111" s="26" t="s">
        <v>359</v>
      </c>
      <c r="FL111" s="26" t="s">
        <v>359</v>
      </c>
      <c r="FM111" s="26" t="s">
        <v>359</v>
      </c>
      <c r="FN111" s="26" t="s">
        <v>359</v>
      </c>
      <c r="FO111" s="28">
        <v>15999</v>
      </c>
      <c r="FP111" s="28">
        <v>7938</v>
      </c>
      <c r="FQ111">
        <v>407</v>
      </c>
      <c r="FR111">
        <v>257</v>
      </c>
      <c r="FS111">
        <v>66</v>
      </c>
      <c r="FT111">
        <v>28</v>
      </c>
      <c r="FU111">
        <v>15194</v>
      </c>
      <c r="FV111">
        <v>11</v>
      </c>
      <c r="FW111">
        <v>28</v>
      </c>
      <c r="FX111">
        <v>7</v>
      </c>
      <c r="FY111">
        <v>17876</v>
      </c>
      <c r="FZ111">
        <v>7676</v>
      </c>
      <c r="GA111">
        <v>360</v>
      </c>
      <c r="GB111">
        <v>320</v>
      </c>
      <c r="GC111">
        <v>78</v>
      </c>
      <c r="GD111">
        <v>23</v>
      </c>
      <c r="GE111">
        <v>17036</v>
      </c>
      <c r="GF111">
        <v>11</v>
      </c>
      <c r="GG111">
        <v>20</v>
      </c>
      <c r="GH111">
        <v>3</v>
      </c>
      <c r="GI111">
        <v>1536</v>
      </c>
      <c r="GJ111">
        <v>2259</v>
      </c>
      <c r="GK111">
        <v>2270</v>
      </c>
      <c r="GL111">
        <v>1692</v>
      </c>
      <c r="GM111">
        <v>1207</v>
      </c>
      <c r="GN111">
        <v>1170</v>
      </c>
      <c r="GO111">
        <v>1109</v>
      </c>
      <c r="GP111">
        <v>1053</v>
      </c>
      <c r="GQ111">
        <v>853</v>
      </c>
      <c r="GR111">
        <v>641</v>
      </c>
      <c r="GS111">
        <v>544</v>
      </c>
      <c r="GT111">
        <v>472</v>
      </c>
      <c r="GU111">
        <v>351</v>
      </c>
      <c r="GV111">
        <v>312</v>
      </c>
      <c r="GW111">
        <v>207</v>
      </c>
      <c r="GX111">
        <v>154</v>
      </c>
      <c r="GY111">
        <v>92</v>
      </c>
      <c r="GZ111">
        <v>77</v>
      </c>
      <c r="HA111">
        <v>1513</v>
      </c>
      <c r="HB111">
        <v>2293</v>
      </c>
      <c r="HC111">
        <v>2220</v>
      </c>
      <c r="HD111">
        <v>1754</v>
      </c>
      <c r="HE111">
        <v>1456</v>
      </c>
      <c r="HF111">
        <v>1561</v>
      </c>
      <c r="HG111">
        <v>1414</v>
      </c>
      <c r="HH111">
        <v>1278</v>
      </c>
      <c r="HI111">
        <v>1035</v>
      </c>
      <c r="HJ111">
        <v>824</v>
      </c>
      <c r="HK111">
        <v>664</v>
      </c>
      <c r="HL111">
        <v>544</v>
      </c>
      <c r="HM111">
        <v>434</v>
      </c>
      <c r="HN111">
        <v>323</v>
      </c>
      <c r="HO111">
        <v>228</v>
      </c>
      <c r="HP111">
        <v>165</v>
      </c>
      <c r="HQ111">
        <v>77</v>
      </c>
      <c r="HR111">
        <v>93</v>
      </c>
      <c r="HS111">
        <v>10002</v>
      </c>
      <c r="HT111">
        <v>0</v>
      </c>
      <c r="HU111">
        <v>11</v>
      </c>
      <c r="HV111">
        <v>0</v>
      </c>
      <c r="HW111">
        <v>12</v>
      </c>
      <c r="HX111">
        <v>0</v>
      </c>
      <c r="HY111">
        <v>1</v>
      </c>
      <c r="HZ111">
        <v>1</v>
      </c>
      <c r="IA111">
        <v>740</v>
      </c>
      <c r="IB111">
        <v>1443</v>
      </c>
      <c r="IC111">
        <v>1983</v>
      </c>
      <c r="ID111">
        <v>2287</v>
      </c>
      <c r="IE111">
        <v>1735</v>
      </c>
      <c r="IF111">
        <v>1178</v>
      </c>
      <c r="IG111">
        <v>731</v>
      </c>
      <c r="IH111">
        <v>459</v>
      </c>
      <c r="II111">
        <v>607</v>
      </c>
      <c r="IJ111">
        <v>865</v>
      </c>
      <c r="IK111">
        <v>3299</v>
      </c>
      <c r="IL111">
        <v>3575</v>
      </c>
      <c r="IM111">
        <v>2060</v>
      </c>
      <c r="IN111">
        <v>908</v>
      </c>
      <c r="IO111">
        <v>295</v>
      </c>
      <c r="IP111">
        <v>94</v>
      </c>
      <c r="IQ111">
        <v>33</v>
      </c>
      <c r="IR111">
        <v>32</v>
      </c>
      <c r="IS111">
        <v>4846</v>
      </c>
      <c r="IT111">
        <v>4020</v>
      </c>
      <c r="IU111">
        <v>1647</v>
      </c>
      <c r="IV111">
        <v>504</v>
      </c>
      <c r="IW111">
        <v>144</v>
      </c>
      <c r="IX111">
        <v>3421</v>
      </c>
      <c r="IY111">
        <v>3947</v>
      </c>
      <c r="IZ111">
        <v>50</v>
      </c>
      <c r="JA111">
        <v>64</v>
      </c>
      <c r="JB111">
        <v>329</v>
      </c>
      <c r="JC111">
        <v>246</v>
      </c>
      <c r="JD111">
        <v>10498</v>
      </c>
      <c r="JE111">
        <v>663</v>
      </c>
      <c r="JF111">
        <v>2</v>
      </c>
      <c r="JH111" s="28">
        <v>7168.6357625284945</v>
      </c>
      <c r="JI111" s="28">
        <v>694.87570840710976</v>
      </c>
      <c r="JJ111">
        <v>1867</v>
      </c>
      <c r="JK111">
        <v>8759</v>
      </c>
      <c r="JL111">
        <v>537</v>
      </c>
      <c r="JM111">
        <v>0</v>
      </c>
      <c r="JN111">
        <v>4154</v>
      </c>
      <c r="JO111">
        <v>3698</v>
      </c>
      <c r="JP111">
        <v>2171</v>
      </c>
      <c r="JQ111">
        <v>6899</v>
      </c>
      <c r="JR111">
        <v>8007</v>
      </c>
      <c r="JS111">
        <v>691</v>
      </c>
      <c r="JT111">
        <v>379</v>
      </c>
      <c r="JU111">
        <v>8612</v>
      </c>
      <c r="JV111">
        <v>616</v>
      </c>
      <c r="JW111" s="28"/>
      <c r="JX111" s="28"/>
      <c r="JY111" s="28"/>
      <c r="JZ111" s="28"/>
      <c r="KA111" s="28">
        <v>10963.00000821</v>
      </c>
      <c r="KB111">
        <v>44841</v>
      </c>
      <c r="KC111">
        <v>0</v>
      </c>
      <c r="KD111">
        <v>25</v>
      </c>
      <c r="KE111">
        <v>0</v>
      </c>
      <c r="KF111">
        <v>63</v>
      </c>
      <c r="KG111">
        <v>0</v>
      </c>
      <c r="KH111">
        <v>3</v>
      </c>
      <c r="KI111">
        <v>4</v>
      </c>
      <c r="KJ111">
        <v>8353</v>
      </c>
      <c r="KK111">
        <v>39031</v>
      </c>
      <c r="KL111">
        <v>2030</v>
      </c>
      <c r="KM111">
        <v>0</v>
      </c>
      <c r="KT111">
        <v>6716</v>
      </c>
      <c r="KU111">
        <v>6487</v>
      </c>
      <c r="KV111">
        <v>5948</v>
      </c>
      <c r="KW111">
        <v>395</v>
      </c>
      <c r="KX111">
        <v>125</v>
      </c>
      <c r="KZ111">
        <v>5714</v>
      </c>
      <c r="LA111">
        <v>355</v>
      </c>
      <c r="LB111">
        <v>144</v>
      </c>
      <c r="LD111">
        <v>4278</v>
      </c>
      <c r="LE111">
        <v>4339</v>
      </c>
      <c r="LF111">
        <v>2318</v>
      </c>
      <c r="LG111">
        <v>4319</v>
      </c>
      <c r="LH111">
        <v>31591</v>
      </c>
      <c r="LI111">
        <v>26</v>
      </c>
      <c r="LJ111">
        <v>4636</v>
      </c>
      <c r="LK111">
        <v>507</v>
      </c>
      <c r="LL111">
        <v>2293</v>
      </c>
      <c r="LM111">
        <v>3</v>
      </c>
      <c r="LN111">
        <v>1024</v>
      </c>
      <c r="LO111">
        <v>469</v>
      </c>
      <c r="LP111">
        <v>35</v>
      </c>
      <c r="LQ111">
        <v>5059</v>
      </c>
      <c r="LR111">
        <v>397</v>
      </c>
      <c r="LS111">
        <v>2087</v>
      </c>
      <c r="LT111">
        <v>9</v>
      </c>
      <c r="LU111">
        <v>909</v>
      </c>
      <c r="LV111">
        <v>368</v>
      </c>
      <c r="LW111" s="44"/>
      <c r="LX111" s="44"/>
      <c r="LY111" s="44"/>
      <c r="LZ111">
        <v>11163</v>
      </c>
      <c r="MA111">
        <v>49414</v>
      </c>
      <c r="MB111">
        <v>43175</v>
      </c>
      <c r="MC111">
        <v>18547</v>
      </c>
      <c r="MD111" s="26">
        <v>21.009148</v>
      </c>
      <c r="ME111" s="26">
        <v>17.449054</v>
      </c>
      <c r="MF111" s="26">
        <v>72.701086000000004</v>
      </c>
      <c r="MG111" s="26">
        <v>31.544072</v>
      </c>
      <c r="MH111" s="26">
        <v>16.724895</v>
      </c>
      <c r="MI111" s="26">
        <v>2.4993279999999998</v>
      </c>
      <c r="MJ111" s="26">
        <v>8.5371319999999997</v>
      </c>
      <c r="MK111" s="26">
        <v>5.9392639999999997</v>
      </c>
      <c r="ML111" s="26">
        <v>1.7916329999999998</v>
      </c>
      <c r="MM111" s="26">
        <v>66.872703999999999</v>
      </c>
      <c r="MN111" s="26">
        <v>62.787780999999995</v>
      </c>
      <c r="MO111" s="26">
        <v>1.2628359999999998</v>
      </c>
      <c r="MP111" t="s">
        <v>1028</v>
      </c>
      <c r="MQ111">
        <v>289</v>
      </c>
      <c r="MR111">
        <v>31</v>
      </c>
    </row>
    <row r="112" spans="1:356">
      <c r="A112" t="s">
        <v>227</v>
      </c>
      <c r="B112" t="s">
        <v>228</v>
      </c>
      <c r="C112">
        <v>58153</v>
      </c>
      <c r="D112">
        <v>71432</v>
      </c>
      <c r="E112">
        <v>83505</v>
      </c>
      <c r="F112">
        <f t="shared" si="6"/>
        <v>12073</v>
      </c>
      <c r="G112" s="26">
        <f t="shared" si="7"/>
        <v>16.901388733340795</v>
      </c>
      <c r="H112">
        <v>41701</v>
      </c>
      <c r="I112">
        <v>41804</v>
      </c>
      <c r="J112">
        <v>27668</v>
      </c>
      <c r="K112">
        <v>55837</v>
      </c>
      <c r="L112">
        <v>3917</v>
      </c>
      <c r="M112">
        <v>4585</v>
      </c>
      <c r="N112">
        <v>4290</v>
      </c>
      <c r="O112">
        <v>3770</v>
      </c>
      <c r="P112">
        <v>3073</v>
      </c>
      <c r="Q112">
        <v>2676</v>
      </c>
      <c r="R112">
        <v>2515</v>
      </c>
      <c r="S112">
        <v>2198</v>
      </c>
      <c r="T112">
        <v>1816</v>
      </c>
      <c r="U112">
        <v>1594</v>
      </c>
      <c r="V112">
        <v>1286</v>
      </c>
      <c r="W112">
        <v>1027</v>
      </c>
      <c r="X112">
        <v>851</v>
      </c>
      <c r="Y112">
        <v>2216</v>
      </c>
      <c r="Z112">
        <v>5887</v>
      </c>
      <c r="AA112">
        <v>3920</v>
      </c>
      <c r="AB112">
        <v>4611</v>
      </c>
      <c r="AC112">
        <v>4204</v>
      </c>
      <c r="AD112">
        <v>3617</v>
      </c>
      <c r="AE112">
        <v>3191</v>
      </c>
      <c r="AF112">
        <v>2834</v>
      </c>
      <c r="AG112">
        <v>2562</v>
      </c>
      <c r="AH112">
        <v>2228</v>
      </c>
      <c r="AI112">
        <v>1812</v>
      </c>
      <c r="AJ112">
        <v>1573</v>
      </c>
      <c r="AK112">
        <v>1245</v>
      </c>
      <c r="AL112">
        <v>1128</v>
      </c>
      <c r="AM112">
        <v>871</v>
      </c>
      <c r="AN112">
        <v>2123</v>
      </c>
      <c r="AO112">
        <v>5885</v>
      </c>
      <c r="AP112">
        <v>71277</v>
      </c>
      <c r="AQ112">
        <v>424</v>
      </c>
      <c r="AR112">
        <v>0</v>
      </c>
      <c r="AS112">
        <v>11</v>
      </c>
      <c r="AT112">
        <v>11793</v>
      </c>
      <c r="AU112">
        <v>63392</v>
      </c>
      <c r="AV112">
        <v>31708</v>
      </c>
      <c r="AW112">
        <v>31684</v>
      </c>
      <c r="AX112">
        <v>45517</v>
      </c>
      <c r="AY112">
        <v>61709</v>
      </c>
      <c r="AZ112">
        <v>44937</v>
      </c>
      <c r="BA112">
        <v>16772</v>
      </c>
      <c r="BB112">
        <v>1421</v>
      </c>
      <c r="BC112">
        <v>1419</v>
      </c>
      <c r="BD112">
        <v>4149</v>
      </c>
      <c r="BE112">
        <v>4176</v>
      </c>
      <c r="BF112">
        <v>4010</v>
      </c>
      <c r="BG112">
        <v>3906</v>
      </c>
      <c r="BH112">
        <v>3563</v>
      </c>
      <c r="BI112">
        <v>3420</v>
      </c>
      <c r="BJ112">
        <v>2913</v>
      </c>
      <c r="BK112">
        <v>3028</v>
      </c>
      <c r="BL112">
        <v>2568</v>
      </c>
      <c r="BM112">
        <v>2681</v>
      </c>
      <c r="BN112">
        <v>2415</v>
      </c>
      <c r="BO112">
        <v>2439</v>
      </c>
      <c r="BP112">
        <v>2126</v>
      </c>
      <c r="BQ112">
        <v>2125</v>
      </c>
      <c r="BR112">
        <v>1742</v>
      </c>
      <c r="BS112">
        <v>1749</v>
      </c>
      <c r="BT112">
        <v>1555</v>
      </c>
      <c r="BU112">
        <v>1511</v>
      </c>
      <c r="BV112">
        <v>1250</v>
      </c>
      <c r="BW112">
        <v>1216</v>
      </c>
      <c r="BX112">
        <v>997</v>
      </c>
      <c r="BY112">
        <v>1099</v>
      </c>
      <c r="BZ112">
        <v>828</v>
      </c>
      <c r="CA112">
        <v>844</v>
      </c>
      <c r="CB112">
        <v>2171</v>
      </c>
      <c r="CC112">
        <v>2071</v>
      </c>
      <c r="CD112">
        <v>26300</v>
      </c>
      <c r="CE112">
        <v>23017</v>
      </c>
      <c r="CF112">
        <v>5007</v>
      </c>
      <c r="CG112">
        <v>8209</v>
      </c>
      <c r="CH112">
        <v>14734</v>
      </c>
      <c r="CI112">
        <v>3260</v>
      </c>
      <c r="CJ112">
        <v>70308</v>
      </c>
      <c r="CK112">
        <v>12954</v>
      </c>
      <c r="CL112">
        <v>841</v>
      </c>
      <c r="CM112">
        <v>2135</v>
      </c>
      <c r="CN112">
        <v>2872</v>
      </c>
      <c r="CO112">
        <v>3521</v>
      </c>
      <c r="CP112">
        <v>3034</v>
      </c>
      <c r="CQ112">
        <v>5591</v>
      </c>
      <c r="CR112">
        <v>12814</v>
      </c>
      <c r="CS112">
        <v>35266</v>
      </c>
      <c r="CT112">
        <v>3905</v>
      </c>
      <c r="CU112">
        <v>1715</v>
      </c>
      <c r="CV112">
        <v>947</v>
      </c>
      <c r="CW112">
        <v>1433</v>
      </c>
      <c r="CX112">
        <v>37</v>
      </c>
      <c r="CY112">
        <v>10801</v>
      </c>
      <c r="CZ112">
        <v>3834</v>
      </c>
      <c r="DA112">
        <v>29</v>
      </c>
      <c r="DB112">
        <v>841</v>
      </c>
      <c r="DC112">
        <v>4</v>
      </c>
      <c r="DD112">
        <v>2048</v>
      </c>
      <c r="DE112">
        <v>6309</v>
      </c>
      <c r="DF112">
        <v>11560</v>
      </c>
      <c r="DG112">
        <v>35920</v>
      </c>
      <c r="DH112">
        <v>10642</v>
      </c>
      <c r="DI112">
        <v>17026</v>
      </c>
      <c r="DJ112">
        <v>0</v>
      </c>
      <c r="DK112">
        <v>0</v>
      </c>
      <c r="DL112">
        <v>0</v>
      </c>
      <c r="DM112">
        <v>43</v>
      </c>
      <c r="DN112">
        <v>40</v>
      </c>
      <c r="DO112">
        <v>31</v>
      </c>
      <c r="DP112">
        <v>38</v>
      </c>
      <c r="DQ112">
        <v>3</v>
      </c>
      <c r="DR112">
        <v>2</v>
      </c>
      <c r="DS112">
        <v>0</v>
      </c>
      <c r="DT112">
        <v>0</v>
      </c>
      <c r="DU112">
        <v>0</v>
      </c>
      <c r="DV112">
        <v>1055</v>
      </c>
      <c r="DW112">
        <v>1137</v>
      </c>
      <c r="DX112">
        <v>1625</v>
      </c>
      <c r="DY112">
        <v>1484</v>
      </c>
      <c r="DZ112">
        <v>1032</v>
      </c>
      <c r="EA112">
        <v>993</v>
      </c>
      <c r="EB112">
        <v>576</v>
      </c>
      <c r="EC112">
        <v>601</v>
      </c>
      <c r="ED112">
        <v>446</v>
      </c>
      <c r="EE112">
        <v>517</v>
      </c>
      <c r="EF112">
        <v>731</v>
      </c>
      <c r="EG112">
        <v>736</v>
      </c>
      <c r="EH112">
        <v>423</v>
      </c>
      <c r="EI112">
        <v>348</v>
      </c>
      <c r="EJ112">
        <v>1504</v>
      </c>
      <c r="EK112">
        <v>2228</v>
      </c>
      <c r="EL112">
        <v>1413</v>
      </c>
      <c r="EM112">
        <v>729</v>
      </c>
      <c r="EN112">
        <v>624</v>
      </c>
      <c r="EO112">
        <v>984</v>
      </c>
      <c r="EP112">
        <v>549</v>
      </c>
      <c r="EQ112">
        <v>22524</v>
      </c>
      <c r="ER112">
        <v>22431</v>
      </c>
      <c r="ES112">
        <v>93</v>
      </c>
      <c r="ET112">
        <v>2909</v>
      </c>
      <c r="EU112">
        <v>15484</v>
      </c>
      <c r="EV112">
        <v>15459</v>
      </c>
      <c r="EW112">
        <v>25</v>
      </c>
      <c r="EX112">
        <v>10071</v>
      </c>
      <c r="EY112" s="26">
        <v>81.509573000000003</v>
      </c>
      <c r="EZ112" s="26">
        <v>5.8751179999999996</v>
      </c>
      <c r="FA112" s="26">
        <v>3.616088</v>
      </c>
      <c r="FB112" s="26">
        <v>8.8229260000000007</v>
      </c>
      <c r="FC112" s="26">
        <v>0.17629500000000001</v>
      </c>
      <c r="FD112">
        <v>5464</v>
      </c>
      <c r="FE112">
        <v>13583</v>
      </c>
      <c r="FF112">
        <v>2964</v>
      </c>
      <c r="FG112">
        <v>8008</v>
      </c>
      <c r="FH112">
        <v>12</v>
      </c>
      <c r="FI112">
        <v>6788</v>
      </c>
      <c r="FJ112">
        <v>1165</v>
      </c>
      <c r="FK112" s="26" t="s">
        <v>359</v>
      </c>
      <c r="FL112" s="26" t="s">
        <v>359</v>
      </c>
      <c r="FM112" s="26" t="s">
        <v>359</v>
      </c>
      <c r="FN112" s="26" t="s">
        <v>359</v>
      </c>
      <c r="FO112" s="28">
        <v>25244</v>
      </c>
      <c r="FP112" s="28">
        <v>10565</v>
      </c>
      <c r="FQ112">
        <v>1728</v>
      </c>
      <c r="FR112">
        <v>399</v>
      </c>
      <c r="FS112">
        <v>43</v>
      </c>
      <c r="FT112">
        <v>41</v>
      </c>
      <c r="FU112">
        <v>22230</v>
      </c>
      <c r="FV112">
        <v>41</v>
      </c>
      <c r="FW112">
        <v>41</v>
      </c>
      <c r="FX112">
        <v>5892</v>
      </c>
      <c r="FY112">
        <v>26018</v>
      </c>
      <c r="FZ112">
        <v>9891</v>
      </c>
      <c r="GA112">
        <v>1542</v>
      </c>
      <c r="GB112">
        <v>394</v>
      </c>
      <c r="GC112">
        <v>44</v>
      </c>
      <c r="GD112">
        <v>37</v>
      </c>
      <c r="GE112">
        <v>23135</v>
      </c>
      <c r="GF112">
        <v>30</v>
      </c>
      <c r="GG112">
        <v>47</v>
      </c>
      <c r="GH112">
        <v>5895</v>
      </c>
      <c r="GI112">
        <v>2165</v>
      </c>
      <c r="GJ112">
        <v>3357</v>
      </c>
      <c r="GK112">
        <v>3285</v>
      </c>
      <c r="GL112">
        <v>2795</v>
      </c>
      <c r="GM112">
        <v>2007</v>
      </c>
      <c r="GN112">
        <v>1836</v>
      </c>
      <c r="GO112">
        <v>1776</v>
      </c>
      <c r="GP112">
        <v>1609</v>
      </c>
      <c r="GQ112">
        <v>1370</v>
      </c>
      <c r="GR112">
        <v>1125</v>
      </c>
      <c r="GS112">
        <v>947</v>
      </c>
      <c r="GT112">
        <v>764</v>
      </c>
      <c r="GU112">
        <v>576</v>
      </c>
      <c r="GV112">
        <v>612</v>
      </c>
      <c r="GW112">
        <v>384</v>
      </c>
      <c r="GX112">
        <v>308</v>
      </c>
      <c r="GY112">
        <v>161</v>
      </c>
      <c r="GZ112">
        <v>164</v>
      </c>
      <c r="HA112">
        <v>2189</v>
      </c>
      <c r="HB112">
        <v>3372</v>
      </c>
      <c r="HC112">
        <v>3194</v>
      </c>
      <c r="HD112">
        <v>2552</v>
      </c>
      <c r="HE112">
        <v>2261</v>
      </c>
      <c r="HF112">
        <v>2132</v>
      </c>
      <c r="HG112">
        <v>1956</v>
      </c>
      <c r="HH112">
        <v>1721</v>
      </c>
      <c r="HI112">
        <v>1396</v>
      </c>
      <c r="HJ112">
        <v>1206</v>
      </c>
      <c r="HK112">
        <v>931</v>
      </c>
      <c r="HL112">
        <v>860</v>
      </c>
      <c r="HM112">
        <v>626</v>
      </c>
      <c r="HN112">
        <v>626</v>
      </c>
      <c r="HO112">
        <v>387</v>
      </c>
      <c r="HP112">
        <v>311</v>
      </c>
      <c r="HQ112">
        <v>149</v>
      </c>
      <c r="HR112">
        <v>148</v>
      </c>
      <c r="HS112">
        <v>14067</v>
      </c>
      <c r="HT112">
        <v>0</v>
      </c>
      <c r="HU112">
        <v>1</v>
      </c>
      <c r="HV112">
        <v>0</v>
      </c>
      <c r="HW112">
        <v>2</v>
      </c>
      <c r="HX112">
        <v>0</v>
      </c>
      <c r="HY112">
        <v>0</v>
      </c>
      <c r="HZ112">
        <v>2576</v>
      </c>
      <c r="IA112">
        <v>840</v>
      </c>
      <c r="IB112">
        <v>2135</v>
      </c>
      <c r="IC112">
        <v>2872</v>
      </c>
      <c r="ID112">
        <v>3521</v>
      </c>
      <c r="IE112">
        <v>3033</v>
      </c>
      <c r="IF112">
        <v>2353</v>
      </c>
      <c r="IG112">
        <v>1492</v>
      </c>
      <c r="IH112">
        <v>869</v>
      </c>
      <c r="II112">
        <v>877</v>
      </c>
      <c r="IJ112">
        <v>1057</v>
      </c>
      <c r="IK112">
        <v>5111</v>
      </c>
      <c r="IL112">
        <v>5121</v>
      </c>
      <c r="IM112">
        <v>2360</v>
      </c>
      <c r="IN112">
        <v>1108</v>
      </c>
      <c r="IO112">
        <v>440</v>
      </c>
      <c r="IP112">
        <v>86</v>
      </c>
      <c r="IQ112">
        <v>41</v>
      </c>
      <c r="IR112">
        <v>29</v>
      </c>
      <c r="IS112">
        <v>6727</v>
      </c>
      <c r="IT112">
        <v>5991</v>
      </c>
      <c r="IU112">
        <v>1780</v>
      </c>
      <c r="IV112">
        <v>690</v>
      </c>
      <c r="IW112">
        <v>165</v>
      </c>
      <c r="IX112">
        <v>5168</v>
      </c>
      <c r="IY112">
        <v>2866</v>
      </c>
      <c r="IZ112">
        <v>53</v>
      </c>
      <c r="JA112">
        <v>100</v>
      </c>
      <c r="JB112">
        <v>0</v>
      </c>
      <c r="JC112">
        <v>416</v>
      </c>
      <c r="JD112">
        <v>13494</v>
      </c>
      <c r="JE112">
        <v>1853</v>
      </c>
      <c r="JF112">
        <v>2645</v>
      </c>
      <c r="JH112" s="28">
        <v>13351.558940821973</v>
      </c>
      <c r="JI112" s="28">
        <v>371.9938832904507</v>
      </c>
      <c r="JJ112">
        <v>4380</v>
      </c>
      <c r="JK112">
        <v>10812</v>
      </c>
      <c r="JL112">
        <v>160</v>
      </c>
      <c r="JM112">
        <v>2640</v>
      </c>
      <c r="JN112">
        <v>4548</v>
      </c>
      <c r="JO112">
        <v>765</v>
      </c>
      <c r="JP112">
        <v>504</v>
      </c>
      <c r="JQ112">
        <v>6150</v>
      </c>
      <c r="JR112">
        <v>8065</v>
      </c>
      <c r="JS112">
        <v>405</v>
      </c>
      <c r="JT112">
        <v>119</v>
      </c>
      <c r="JU112">
        <v>4610</v>
      </c>
      <c r="JV112">
        <v>284</v>
      </c>
      <c r="JW112" s="28"/>
      <c r="JX112" s="28"/>
      <c r="JY112" s="28"/>
      <c r="JZ112" s="28"/>
      <c r="KA112" s="28">
        <v>17361.000049120001</v>
      </c>
      <c r="KB112">
        <v>65919</v>
      </c>
      <c r="KC112">
        <v>0</v>
      </c>
      <c r="KD112">
        <v>1</v>
      </c>
      <c r="KE112">
        <v>0</v>
      </c>
      <c r="KF112">
        <v>6</v>
      </c>
      <c r="KG112">
        <v>0</v>
      </c>
      <c r="KH112">
        <v>0</v>
      </c>
      <c r="KI112">
        <v>11516</v>
      </c>
      <c r="KJ112">
        <v>20490</v>
      </c>
      <c r="KK112">
        <v>50288</v>
      </c>
      <c r="KL112">
        <v>695</v>
      </c>
      <c r="KM112">
        <v>11783</v>
      </c>
      <c r="KT112">
        <v>11487</v>
      </c>
      <c r="KU112">
        <v>11194</v>
      </c>
      <c r="KV112">
        <v>9852</v>
      </c>
      <c r="KW112">
        <v>1118</v>
      </c>
      <c r="KX112">
        <v>165</v>
      </c>
      <c r="KZ112">
        <v>9675</v>
      </c>
      <c r="LA112">
        <v>983</v>
      </c>
      <c r="LB112">
        <v>161</v>
      </c>
      <c r="LD112">
        <v>6027</v>
      </c>
      <c r="LE112">
        <v>6078</v>
      </c>
      <c r="LF112">
        <v>3686</v>
      </c>
      <c r="LG112">
        <v>6953</v>
      </c>
      <c r="LH112">
        <v>46206</v>
      </c>
      <c r="LI112">
        <v>59</v>
      </c>
      <c r="LJ112">
        <v>3627</v>
      </c>
      <c r="LK112">
        <v>1201</v>
      </c>
      <c r="LL112">
        <v>5329</v>
      </c>
      <c r="LM112">
        <v>3</v>
      </c>
      <c r="LN112">
        <v>3758</v>
      </c>
      <c r="LO112">
        <v>536</v>
      </c>
      <c r="LP112">
        <v>58</v>
      </c>
      <c r="LQ112">
        <v>3383</v>
      </c>
      <c r="LR112">
        <v>1061</v>
      </c>
      <c r="LS112">
        <v>4605</v>
      </c>
      <c r="LT112">
        <v>8</v>
      </c>
      <c r="LU112">
        <v>2707</v>
      </c>
      <c r="LV112">
        <v>327</v>
      </c>
      <c r="LW112" s="44"/>
      <c r="LX112" s="44"/>
      <c r="LY112" s="44"/>
      <c r="LZ112">
        <v>17992</v>
      </c>
      <c r="MA112">
        <v>83256</v>
      </c>
      <c r="MB112">
        <v>77554</v>
      </c>
      <c r="MC112">
        <v>68280</v>
      </c>
      <c r="MD112" s="26">
        <v>23.025147999999998</v>
      </c>
      <c r="ME112" s="26">
        <v>7.6236569999999997</v>
      </c>
      <c r="MF112" s="26">
        <v>56.423407999999995</v>
      </c>
      <c r="MG112" s="26">
        <v>24.496737</v>
      </c>
      <c r="MH112" s="26">
        <v>24.344152999999999</v>
      </c>
      <c r="MI112" s="26">
        <v>15.706980999999999</v>
      </c>
      <c r="MJ112" s="26">
        <v>7.9424189999999992</v>
      </c>
      <c r="MK112" s="26">
        <v>10.299021999999999</v>
      </c>
      <c r="ML112" s="26">
        <v>3.5071139999999996</v>
      </c>
      <c r="MM112" s="26">
        <v>95.748109999999997</v>
      </c>
      <c r="MN112" s="26">
        <v>74.722099</v>
      </c>
      <c r="MO112" s="26">
        <v>1.7449999999999999</v>
      </c>
      <c r="MP112" t="s">
        <v>1028</v>
      </c>
      <c r="MQ112">
        <v>161</v>
      </c>
      <c r="MR112">
        <v>15</v>
      </c>
    </row>
    <row r="113" spans="1:356">
      <c r="A113" t="s">
        <v>229</v>
      </c>
      <c r="B113" t="s">
        <v>230</v>
      </c>
      <c r="C113">
        <v>78438</v>
      </c>
      <c r="D113">
        <v>84594</v>
      </c>
      <c r="E113">
        <v>91913</v>
      </c>
      <c r="F113">
        <f t="shared" si="6"/>
        <v>7319</v>
      </c>
      <c r="G113" s="26">
        <f t="shared" si="7"/>
        <v>8.6519138473177861</v>
      </c>
      <c r="H113">
        <v>45281</v>
      </c>
      <c r="I113">
        <v>46632</v>
      </c>
      <c r="J113">
        <v>52357</v>
      </c>
      <c r="K113">
        <v>39556</v>
      </c>
      <c r="L113">
        <v>4063</v>
      </c>
      <c r="M113">
        <v>4499</v>
      </c>
      <c r="N113">
        <v>4374</v>
      </c>
      <c r="O113">
        <v>4102</v>
      </c>
      <c r="P113">
        <v>3301</v>
      </c>
      <c r="Q113">
        <v>2984</v>
      </c>
      <c r="R113">
        <v>2862</v>
      </c>
      <c r="S113">
        <v>2890</v>
      </c>
      <c r="T113">
        <v>2905</v>
      </c>
      <c r="U113">
        <v>2735</v>
      </c>
      <c r="V113">
        <v>2507</v>
      </c>
      <c r="W113">
        <v>2270</v>
      </c>
      <c r="X113">
        <v>1748</v>
      </c>
      <c r="Y113">
        <v>4036</v>
      </c>
      <c r="Z113">
        <v>5</v>
      </c>
      <c r="AA113">
        <v>3980</v>
      </c>
      <c r="AB113">
        <v>4187</v>
      </c>
      <c r="AC113">
        <v>4204</v>
      </c>
      <c r="AD113">
        <v>4065</v>
      </c>
      <c r="AE113">
        <v>3502</v>
      </c>
      <c r="AF113">
        <v>3390</v>
      </c>
      <c r="AG113">
        <v>3213</v>
      </c>
      <c r="AH113">
        <v>3241</v>
      </c>
      <c r="AI113">
        <v>3197</v>
      </c>
      <c r="AJ113">
        <v>2910</v>
      </c>
      <c r="AK113">
        <v>2614</v>
      </c>
      <c r="AL113">
        <v>2272</v>
      </c>
      <c r="AM113">
        <v>1785</v>
      </c>
      <c r="AN113">
        <v>4068</v>
      </c>
      <c r="AO113">
        <v>4</v>
      </c>
      <c r="AP113">
        <v>87257</v>
      </c>
      <c r="AQ113">
        <v>4208</v>
      </c>
      <c r="AR113">
        <v>118</v>
      </c>
      <c r="AS113">
        <v>138</v>
      </c>
      <c r="AT113">
        <v>192</v>
      </c>
      <c r="AU113">
        <v>342</v>
      </c>
      <c r="AV113">
        <v>186</v>
      </c>
      <c r="AW113">
        <v>156</v>
      </c>
      <c r="AX113">
        <v>464</v>
      </c>
      <c r="AY113">
        <v>284</v>
      </c>
      <c r="AZ113">
        <v>65</v>
      </c>
      <c r="BA113">
        <v>219</v>
      </c>
      <c r="BB113">
        <v>1</v>
      </c>
      <c r="BC113">
        <v>3</v>
      </c>
      <c r="BD113">
        <v>3</v>
      </c>
      <c r="BE113">
        <v>4</v>
      </c>
      <c r="BF113">
        <v>6</v>
      </c>
      <c r="BG113">
        <v>6</v>
      </c>
      <c r="BH113">
        <v>8</v>
      </c>
      <c r="BI113">
        <v>8</v>
      </c>
      <c r="BJ113">
        <v>9</v>
      </c>
      <c r="BK113">
        <v>13</v>
      </c>
      <c r="BL113">
        <v>16</v>
      </c>
      <c r="BM113">
        <v>20</v>
      </c>
      <c r="BN113">
        <v>19</v>
      </c>
      <c r="BO113">
        <v>18</v>
      </c>
      <c r="BP113">
        <v>10</v>
      </c>
      <c r="BQ113">
        <v>19</v>
      </c>
      <c r="BR113">
        <v>21</v>
      </c>
      <c r="BS113">
        <v>10</v>
      </c>
      <c r="BT113">
        <v>23</v>
      </c>
      <c r="BU113">
        <v>9</v>
      </c>
      <c r="BV113">
        <v>16</v>
      </c>
      <c r="BW113">
        <v>9</v>
      </c>
      <c r="BX113">
        <v>12</v>
      </c>
      <c r="BY113">
        <v>7</v>
      </c>
      <c r="BZ113">
        <v>13</v>
      </c>
      <c r="CA113">
        <v>10</v>
      </c>
      <c r="CB113">
        <v>29</v>
      </c>
      <c r="CC113">
        <v>20</v>
      </c>
      <c r="CD113">
        <v>182</v>
      </c>
      <c r="CE113">
        <v>154</v>
      </c>
      <c r="CF113">
        <v>0</v>
      </c>
      <c r="CG113">
        <v>0</v>
      </c>
      <c r="CH113">
        <v>18237</v>
      </c>
      <c r="CI113">
        <v>7330</v>
      </c>
      <c r="CJ113">
        <v>67815</v>
      </c>
      <c r="CK113">
        <v>23886</v>
      </c>
      <c r="CL113">
        <v>2950</v>
      </c>
      <c r="CM113">
        <v>5267</v>
      </c>
      <c r="CN113">
        <v>4963</v>
      </c>
      <c r="CO113">
        <v>5272</v>
      </c>
      <c r="CP113">
        <v>3632</v>
      </c>
      <c r="CQ113">
        <v>3483</v>
      </c>
      <c r="CR113">
        <v>17233</v>
      </c>
      <c r="CS113">
        <v>34074</v>
      </c>
      <c r="CT113">
        <v>8267</v>
      </c>
      <c r="CU113">
        <v>2452</v>
      </c>
      <c r="CV113">
        <v>904</v>
      </c>
      <c r="CW113">
        <v>2871</v>
      </c>
      <c r="CX113">
        <v>326</v>
      </c>
      <c r="CY113">
        <v>15462</v>
      </c>
      <c r="CZ113">
        <v>6922</v>
      </c>
      <c r="DA113">
        <v>158</v>
      </c>
      <c r="DB113">
        <v>2950</v>
      </c>
      <c r="DC113">
        <v>72</v>
      </c>
      <c r="DD113">
        <v>4481</v>
      </c>
      <c r="DE113">
        <v>4910</v>
      </c>
      <c r="DF113">
        <v>6007</v>
      </c>
      <c r="DG113">
        <v>24158</v>
      </c>
      <c r="DH113">
        <v>7483</v>
      </c>
      <c r="DI113">
        <v>6787</v>
      </c>
      <c r="DJ113">
        <v>38087</v>
      </c>
      <c r="DK113">
        <v>0</v>
      </c>
      <c r="DL113">
        <v>0</v>
      </c>
      <c r="DM113">
        <v>473</v>
      </c>
      <c r="DN113">
        <v>28</v>
      </c>
      <c r="DO113">
        <v>18</v>
      </c>
      <c r="DP113">
        <v>28</v>
      </c>
      <c r="DQ113">
        <v>2</v>
      </c>
      <c r="DR113">
        <v>1</v>
      </c>
      <c r="DS113">
        <v>1</v>
      </c>
      <c r="DT113">
        <v>0</v>
      </c>
      <c r="DU113">
        <v>0</v>
      </c>
      <c r="DV113">
        <v>2812</v>
      </c>
      <c r="DW113">
        <v>3466</v>
      </c>
      <c r="DX113">
        <v>3832</v>
      </c>
      <c r="DY113">
        <v>4388</v>
      </c>
      <c r="DZ113">
        <v>1426</v>
      </c>
      <c r="EA113">
        <v>1213</v>
      </c>
      <c r="EB113">
        <v>717</v>
      </c>
      <c r="EC113">
        <v>569</v>
      </c>
      <c r="ED113">
        <v>588</v>
      </c>
      <c r="EE113">
        <v>677</v>
      </c>
      <c r="EF113">
        <v>1019</v>
      </c>
      <c r="EG113">
        <v>1186</v>
      </c>
      <c r="EH113">
        <v>557</v>
      </c>
      <c r="EI113">
        <v>520</v>
      </c>
      <c r="EJ113">
        <v>4040</v>
      </c>
      <c r="EK113">
        <v>5233</v>
      </c>
      <c r="EL113">
        <v>1661</v>
      </c>
      <c r="EM113">
        <v>747</v>
      </c>
      <c r="EN113">
        <v>804</v>
      </c>
      <c r="EO113">
        <v>1414</v>
      </c>
      <c r="EP113">
        <v>612</v>
      </c>
      <c r="EQ113">
        <v>27114</v>
      </c>
      <c r="ER113">
        <v>26532</v>
      </c>
      <c r="ES113">
        <v>582</v>
      </c>
      <c r="ET113">
        <v>7630</v>
      </c>
      <c r="EU113">
        <v>17919</v>
      </c>
      <c r="EV113">
        <v>17664</v>
      </c>
      <c r="EW113">
        <v>255</v>
      </c>
      <c r="EX113">
        <v>18754</v>
      </c>
      <c r="EY113" s="26">
        <v>20.647689</v>
      </c>
      <c r="EZ113" s="26">
        <v>14.667185</v>
      </c>
      <c r="FA113" s="26">
        <v>18.500688</v>
      </c>
      <c r="FB113" s="26">
        <v>45.511631999999999</v>
      </c>
      <c r="FC113" s="26">
        <v>0.67280700000000004</v>
      </c>
      <c r="FD113">
        <v>3268</v>
      </c>
      <c r="FE113">
        <v>11979</v>
      </c>
      <c r="FF113">
        <v>1930</v>
      </c>
      <c r="FG113">
        <v>9967</v>
      </c>
      <c r="FH113">
        <v>47</v>
      </c>
      <c r="FI113">
        <v>10240</v>
      </c>
      <c r="FJ113">
        <v>7556</v>
      </c>
      <c r="FK113" s="26" t="s">
        <v>359</v>
      </c>
      <c r="FL113" s="26" t="s">
        <v>359</v>
      </c>
      <c r="FM113" s="26" t="s">
        <v>359</v>
      </c>
      <c r="FN113" s="26" t="s">
        <v>359</v>
      </c>
      <c r="FO113" s="28">
        <v>26505</v>
      </c>
      <c r="FP113" s="28">
        <v>18559</v>
      </c>
      <c r="FQ113">
        <v>7269</v>
      </c>
      <c r="FR113">
        <v>2139</v>
      </c>
      <c r="FS113">
        <v>802</v>
      </c>
      <c r="FT113">
        <v>563</v>
      </c>
      <c r="FU113">
        <v>15358</v>
      </c>
      <c r="FV113">
        <v>117</v>
      </c>
      <c r="FW113">
        <v>308</v>
      </c>
      <c r="FX113">
        <v>217</v>
      </c>
      <c r="FY113">
        <v>29402</v>
      </c>
      <c r="FZ113">
        <v>17011</v>
      </c>
      <c r="GA113">
        <v>8031</v>
      </c>
      <c r="GB113">
        <v>2646</v>
      </c>
      <c r="GC113">
        <v>1030</v>
      </c>
      <c r="GD113">
        <v>547</v>
      </c>
      <c r="GE113">
        <v>16768</v>
      </c>
      <c r="GF113">
        <v>101</v>
      </c>
      <c r="GG113">
        <v>356</v>
      </c>
      <c r="GH113">
        <v>219</v>
      </c>
      <c r="GI113">
        <v>2334</v>
      </c>
      <c r="GJ113">
        <v>2835</v>
      </c>
      <c r="GK113">
        <v>2810</v>
      </c>
      <c r="GL113">
        <v>2675</v>
      </c>
      <c r="GM113">
        <v>1672</v>
      </c>
      <c r="GN113">
        <v>1578</v>
      </c>
      <c r="GO113">
        <v>1572</v>
      </c>
      <c r="GP113">
        <v>1582</v>
      </c>
      <c r="GQ113">
        <v>1592</v>
      </c>
      <c r="GR113">
        <v>1503</v>
      </c>
      <c r="GS113">
        <v>1404</v>
      </c>
      <c r="GT113">
        <v>1326</v>
      </c>
      <c r="GU113">
        <v>1073</v>
      </c>
      <c r="GV113">
        <v>874</v>
      </c>
      <c r="GW113">
        <v>658</v>
      </c>
      <c r="GX113">
        <v>485</v>
      </c>
      <c r="GY113">
        <v>275</v>
      </c>
      <c r="GZ113">
        <v>256</v>
      </c>
      <c r="HA113">
        <v>2315</v>
      </c>
      <c r="HB113">
        <v>2627</v>
      </c>
      <c r="HC113">
        <v>2664</v>
      </c>
      <c r="HD113">
        <v>2662</v>
      </c>
      <c r="HE113">
        <v>2029</v>
      </c>
      <c r="HF113">
        <v>2060</v>
      </c>
      <c r="HG113">
        <v>1963</v>
      </c>
      <c r="HH113">
        <v>2051</v>
      </c>
      <c r="HI113">
        <v>2062</v>
      </c>
      <c r="HJ113">
        <v>1837</v>
      </c>
      <c r="HK113">
        <v>1627</v>
      </c>
      <c r="HL113">
        <v>1537</v>
      </c>
      <c r="HM113">
        <v>1183</v>
      </c>
      <c r="HN113">
        <v>982</v>
      </c>
      <c r="HO113">
        <v>717</v>
      </c>
      <c r="HP113">
        <v>487</v>
      </c>
      <c r="HQ113">
        <v>299</v>
      </c>
      <c r="HR113">
        <v>300</v>
      </c>
      <c r="HS113">
        <v>21198</v>
      </c>
      <c r="HT113">
        <v>93</v>
      </c>
      <c r="HU113">
        <v>102</v>
      </c>
      <c r="HV113">
        <v>0</v>
      </c>
      <c r="HW113">
        <v>48</v>
      </c>
      <c r="HX113">
        <v>1</v>
      </c>
      <c r="HY113">
        <v>12</v>
      </c>
      <c r="HZ113">
        <v>11</v>
      </c>
      <c r="IA113">
        <v>2936</v>
      </c>
      <c r="IB113">
        <v>5249</v>
      </c>
      <c r="IC113">
        <v>4955</v>
      </c>
      <c r="ID113">
        <v>5266</v>
      </c>
      <c r="IE113">
        <v>3625</v>
      </c>
      <c r="IF113">
        <v>1869</v>
      </c>
      <c r="IG113">
        <v>818</v>
      </c>
      <c r="IH113">
        <v>391</v>
      </c>
      <c r="II113">
        <v>397</v>
      </c>
      <c r="IJ113">
        <v>4170</v>
      </c>
      <c r="IK113">
        <v>6517</v>
      </c>
      <c r="IL113">
        <v>7620</v>
      </c>
      <c r="IM113">
        <v>4497</v>
      </c>
      <c r="IN113">
        <v>1821</v>
      </c>
      <c r="IO113">
        <v>574</v>
      </c>
      <c r="IP113">
        <v>176</v>
      </c>
      <c r="IQ113">
        <v>74</v>
      </c>
      <c r="IR113">
        <v>54</v>
      </c>
      <c r="IS113">
        <v>11262</v>
      </c>
      <c r="IT113">
        <v>10507</v>
      </c>
      <c r="IU113">
        <v>3093</v>
      </c>
      <c r="IV113">
        <v>542</v>
      </c>
      <c r="IW113">
        <v>99</v>
      </c>
      <c r="IX113">
        <v>9221</v>
      </c>
      <c r="IY113">
        <v>4187</v>
      </c>
      <c r="IZ113">
        <v>13</v>
      </c>
      <c r="JA113">
        <v>324</v>
      </c>
      <c r="JB113">
        <v>13</v>
      </c>
      <c r="JC113">
        <v>106</v>
      </c>
      <c r="JD113">
        <v>24926</v>
      </c>
      <c r="JE113">
        <v>577</v>
      </c>
      <c r="JF113">
        <v>3</v>
      </c>
      <c r="JH113" s="28">
        <v>20916.570813194168</v>
      </c>
      <c r="JI113" s="28">
        <v>758.44950843298943</v>
      </c>
      <c r="JJ113">
        <v>868</v>
      </c>
      <c r="JK113">
        <v>20425</v>
      </c>
      <c r="JL113">
        <v>4209</v>
      </c>
      <c r="JM113">
        <v>4</v>
      </c>
      <c r="JN113">
        <v>21786</v>
      </c>
      <c r="JO113">
        <v>17113</v>
      </c>
      <c r="JP113">
        <v>5801</v>
      </c>
      <c r="JQ113">
        <v>15929</v>
      </c>
      <c r="JR113">
        <v>22296</v>
      </c>
      <c r="JS113">
        <v>3865</v>
      </c>
      <c r="JT113">
        <v>3195</v>
      </c>
      <c r="JU113">
        <v>21271</v>
      </c>
      <c r="JV113">
        <v>6593</v>
      </c>
      <c r="JW113" s="28"/>
      <c r="JX113" s="28"/>
      <c r="JY113" s="28"/>
      <c r="JZ113" s="28"/>
      <c r="KA113" s="28">
        <v>25286.99987268</v>
      </c>
      <c r="KB113">
        <v>76521</v>
      </c>
      <c r="KC113">
        <v>283</v>
      </c>
      <c r="KD113">
        <v>291</v>
      </c>
      <c r="KE113">
        <v>0</v>
      </c>
      <c r="KF113">
        <v>161</v>
      </c>
      <c r="KG113">
        <v>5</v>
      </c>
      <c r="KH113">
        <v>23</v>
      </c>
      <c r="KI113">
        <v>44</v>
      </c>
      <c r="KJ113">
        <v>3174</v>
      </c>
      <c r="KK113">
        <v>73705</v>
      </c>
      <c r="KL113">
        <v>14617</v>
      </c>
      <c r="KM113">
        <v>16</v>
      </c>
      <c r="KT113">
        <v>13242</v>
      </c>
      <c r="KU113">
        <v>12726</v>
      </c>
      <c r="KV113">
        <v>10277</v>
      </c>
      <c r="KW113">
        <v>1827</v>
      </c>
      <c r="KX113">
        <v>682</v>
      </c>
      <c r="KZ113">
        <v>9739</v>
      </c>
      <c r="LA113">
        <v>1769</v>
      </c>
      <c r="LB113">
        <v>788</v>
      </c>
      <c r="LD113">
        <v>6846</v>
      </c>
      <c r="LE113">
        <v>6608</v>
      </c>
      <c r="LF113">
        <v>2905</v>
      </c>
      <c r="LG113">
        <v>3321</v>
      </c>
      <c r="LH113">
        <v>66597</v>
      </c>
      <c r="LI113">
        <v>108</v>
      </c>
      <c r="LJ113">
        <v>3973</v>
      </c>
      <c r="LK113">
        <v>1246</v>
      </c>
      <c r="LL113">
        <v>6660</v>
      </c>
      <c r="LM113">
        <v>21</v>
      </c>
      <c r="LN113">
        <v>5651</v>
      </c>
      <c r="LO113">
        <v>3006</v>
      </c>
      <c r="LP113">
        <v>118</v>
      </c>
      <c r="LQ113">
        <v>4565</v>
      </c>
      <c r="LR113">
        <v>1194</v>
      </c>
      <c r="LS113">
        <v>7768</v>
      </c>
      <c r="LT113">
        <v>58</v>
      </c>
      <c r="LU113">
        <v>5403</v>
      </c>
      <c r="LV113">
        <v>3041</v>
      </c>
      <c r="LW113" s="44"/>
      <c r="LX113" s="44"/>
      <c r="LY113" s="44"/>
      <c r="LZ113">
        <v>25506</v>
      </c>
      <c r="MA113">
        <v>91512</v>
      </c>
      <c r="MB113">
        <v>89178</v>
      </c>
      <c r="MC113">
        <v>605</v>
      </c>
      <c r="MD113" s="26">
        <v>9.348768999999999</v>
      </c>
      <c r="ME113" s="26">
        <v>6.1905989999999997</v>
      </c>
      <c r="MF113" s="26">
        <v>39.968767</v>
      </c>
      <c r="MG113" s="26">
        <v>38.699639999999995</v>
      </c>
      <c r="MH113" s="26">
        <v>3.4031210000000001</v>
      </c>
      <c r="MI113" s="26">
        <v>2.3171019999999998</v>
      </c>
      <c r="MJ113" s="26">
        <v>6.8924959999999995</v>
      </c>
      <c r="MK113" s="26">
        <v>2.262213</v>
      </c>
      <c r="ML113" s="26">
        <v>0.858622</v>
      </c>
      <c r="MM113" s="26">
        <v>32.905982999999999</v>
      </c>
      <c r="MN113" s="26">
        <v>14.584804</v>
      </c>
      <c r="MO113" s="26">
        <v>-0.54640199999999994</v>
      </c>
      <c r="MP113" t="s">
        <v>1027</v>
      </c>
      <c r="MQ113">
        <v>1605</v>
      </c>
      <c r="MR113">
        <v>122</v>
      </c>
    </row>
    <row r="114" spans="1:356">
      <c r="A114" t="s">
        <v>231</v>
      </c>
      <c r="B114" t="s">
        <v>232</v>
      </c>
      <c r="C114">
        <v>5513</v>
      </c>
      <c r="D114">
        <v>6375</v>
      </c>
      <c r="E114">
        <v>7211</v>
      </c>
      <c r="F114">
        <f t="shared" si="6"/>
        <v>836</v>
      </c>
      <c r="G114" s="26">
        <f t="shared" si="7"/>
        <v>13.113725490196074</v>
      </c>
      <c r="H114">
        <v>3640</v>
      </c>
      <c r="I114">
        <v>3571</v>
      </c>
      <c r="J114">
        <v>4600</v>
      </c>
      <c r="K114">
        <v>2611</v>
      </c>
      <c r="L114">
        <v>431</v>
      </c>
      <c r="M114">
        <v>428</v>
      </c>
      <c r="N114">
        <v>389</v>
      </c>
      <c r="O114">
        <v>344</v>
      </c>
      <c r="P114">
        <v>273</v>
      </c>
      <c r="Q114">
        <v>251</v>
      </c>
      <c r="R114">
        <v>259</v>
      </c>
      <c r="S114">
        <v>235</v>
      </c>
      <c r="T114">
        <v>263</v>
      </c>
      <c r="U114">
        <v>181</v>
      </c>
      <c r="V114">
        <v>125</v>
      </c>
      <c r="W114">
        <v>136</v>
      </c>
      <c r="X114">
        <v>89</v>
      </c>
      <c r="Y114">
        <v>236</v>
      </c>
      <c r="Z114">
        <v>0</v>
      </c>
      <c r="AA114">
        <v>401</v>
      </c>
      <c r="AB114">
        <v>378</v>
      </c>
      <c r="AC114">
        <v>347</v>
      </c>
      <c r="AD114">
        <v>347</v>
      </c>
      <c r="AE114">
        <v>286</v>
      </c>
      <c r="AF114">
        <v>293</v>
      </c>
      <c r="AG114">
        <v>258</v>
      </c>
      <c r="AH114">
        <v>291</v>
      </c>
      <c r="AI114">
        <v>264</v>
      </c>
      <c r="AJ114">
        <v>198</v>
      </c>
      <c r="AK114">
        <v>136</v>
      </c>
      <c r="AL114">
        <v>114</v>
      </c>
      <c r="AM114">
        <v>77</v>
      </c>
      <c r="AN114">
        <v>181</v>
      </c>
      <c r="AO114">
        <v>0</v>
      </c>
      <c r="AP114">
        <v>7189</v>
      </c>
      <c r="AQ114">
        <v>21</v>
      </c>
      <c r="AR114">
        <v>0</v>
      </c>
      <c r="AS114">
        <v>1</v>
      </c>
      <c r="AT114">
        <v>0</v>
      </c>
      <c r="AU114">
        <v>594</v>
      </c>
      <c r="AV114">
        <v>312</v>
      </c>
      <c r="AW114">
        <v>282</v>
      </c>
      <c r="AX114">
        <v>379</v>
      </c>
      <c r="AY114">
        <v>321</v>
      </c>
      <c r="AZ114">
        <v>280</v>
      </c>
      <c r="BA114">
        <v>41</v>
      </c>
      <c r="BB114">
        <v>20</v>
      </c>
      <c r="BC114">
        <v>26</v>
      </c>
      <c r="BD114">
        <v>69</v>
      </c>
      <c r="BE114">
        <v>53</v>
      </c>
      <c r="BF114">
        <v>40</v>
      </c>
      <c r="BG114">
        <v>32</v>
      </c>
      <c r="BH114">
        <v>37</v>
      </c>
      <c r="BI114">
        <v>37</v>
      </c>
      <c r="BJ114">
        <v>34</v>
      </c>
      <c r="BK114">
        <v>30</v>
      </c>
      <c r="BL114">
        <v>23</v>
      </c>
      <c r="BM114">
        <v>23</v>
      </c>
      <c r="BN114">
        <v>16</v>
      </c>
      <c r="BO114">
        <v>17</v>
      </c>
      <c r="BP114">
        <v>17</v>
      </c>
      <c r="BQ114">
        <v>15</v>
      </c>
      <c r="BR114">
        <v>10</v>
      </c>
      <c r="BS114">
        <v>11</v>
      </c>
      <c r="BT114">
        <v>12</v>
      </c>
      <c r="BU114">
        <v>7</v>
      </c>
      <c r="BV114">
        <v>8</v>
      </c>
      <c r="BW114">
        <v>9</v>
      </c>
      <c r="BX114">
        <v>3</v>
      </c>
      <c r="BY114">
        <v>6</v>
      </c>
      <c r="BZ114">
        <v>7</v>
      </c>
      <c r="CA114">
        <v>4</v>
      </c>
      <c r="CB114">
        <v>16</v>
      </c>
      <c r="CC114">
        <v>12</v>
      </c>
      <c r="CD114">
        <v>205</v>
      </c>
      <c r="CE114">
        <v>133</v>
      </c>
      <c r="CF114">
        <v>103</v>
      </c>
      <c r="CG114">
        <v>147</v>
      </c>
      <c r="CH114">
        <v>1492</v>
      </c>
      <c r="CI114">
        <v>243</v>
      </c>
      <c r="CJ114">
        <v>6436</v>
      </c>
      <c r="CK114">
        <v>775</v>
      </c>
      <c r="CL114">
        <v>94</v>
      </c>
      <c r="CM114">
        <v>265</v>
      </c>
      <c r="CN114">
        <v>295</v>
      </c>
      <c r="CO114">
        <v>432</v>
      </c>
      <c r="CP114">
        <v>307</v>
      </c>
      <c r="CQ114">
        <v>342</v>
      </c>
      <c r="CR114">
        <v>1385</v>
      </c>
      <c r="CS114">
        <v>3227</v>
      </c>
      <c r="CT114">
        <v>463</v>
      </c>
      <c r="CU114">
        <v>243</v>
      </c>
      <c r="CV114">
        <v>52</v>
      </c>
      <c r="CW114">
        <v>104</v>
      </c>
      <c r="CX114">
        <v>2</v>
      </c>
      <c r="CY114">
        <v>1240</v>
      </c>
      <c r="CZ114">
        <v>399</v>
      </c>
      <c r="DA114">
        <v>2</v>
      </c>
      <c r="DB114">
        <v>94</v>
      </c>
      <c r="DC114">
        <v>0</v>
      </c>
      <c r="DD114">
        <v>242</v>
      </c>
      <c r="DE114">
        <v>451</v>
      </c>
      <c r="DF114">
        <v>611</v>
      </c>
      <c r="DG114">
        <v>1307</v>
      </c>
      <c r="DH114">
        <v>4600</v>
      </c>
      <c r="DI114">
        <v>0</v>
      </c>
      <c r="DJ114">
        <v>0</v>
      </c>
      <c r="DK114">
        <v>0</v>
      </c>
      <c r="DL114">
        <v>0</v>
      </c>
      <c r="DM114">
        <v>12</v>
      </c>
      <c r="DN114">
        <v>3</v>
      </c>
      <c r="DO114">
        <v>2</v>
      </c>
      <c r="DP114">
        <v>2</v>
      </c>
      <c r="DQ114">
        <v>1</v>
      </c>
      <c r="DR114">
        <v>0</v>
      </c>
      <c r="DS114">
        <v>0</v>
      </c>
      <c r="DT114">
        <v>0</v>
      </c>
      <c r="DU114">
        <v>0</v>
      </c>
      <c r="DV114">
        <v>266</v>
      </c>
      <c r="DW114">
        <v>247</v>
      </c>
      <c r="DX114">
        <v>232</v>
      </c>
      <c r="DY114">
        <v>233</v>
      </c>
      <c r="DZ114">
        <v>160</v>
      </c>
      <c r="EA114">
        <v>125</v>
      </c>
      <c r="EB114">
        <v>131</v>
      </c>
      <c r="EC114">
        <v>113</v>
      </c>
      <c r="ED114">
        <v>119</v>
      </c>
      <c r="EE114">
        <v>105</v>
      </c>
      <c r="EF114">
        <v>120</v>
      </c>
      <c r="EG114">
        <v>116</v>
      </c>
      <c r="EH114">
        <v>30</v>
      </c>
      <c r="EI114">
        <v>16</v>
      </c>
      <c r="EJ114">
        <v>425</v>
      </c>
      <c r="EK114">
        <v>379</v>
      </c>
      <c r="EL114">
        <v>225</v>
      </c>
      <c r="EM114">
        <v>226</v>
      </c>
      <c r="EN114">
        <v>202</v>
      </c>
      <c r="EO114">
        <v>208</v>
      </c>
      <c r="EP114">
        <v>38</v>
      </c>
      <c r="EQ114">
        <v>2069</v>
      </c>
      <c r="ER114">
        <v>1863</v>
      </c>
      <c r="ES114">
        <v>206</v>
      </c>
      <c r="ET114">
        <v>527</v>
      </c>
      <c r="EU114">
        <v>383</v>
      </c>
      <c r="EV114">
        <v>381</v>
      </c>
      <c r="EW114">
        <v>2</v>
      </c>
      <c r="EX114">
        <v>2244</v>
      </c>
      <c r="EY114" s="26">
        <v>77.874658999999994</v>
      </c>
      <c r="EZ114" s="26">
        <v>8.7738420000000001</v>
      </c>
      <c r="FA114" s="26">
        <v>6.7029969999999999</v>
      </c>
      <c r="FB114" s="26">
        <v>6.5395099999999999</v>
      </c>
      <c r="FC114" s="26">
        <v>0.10899200000000001</v>
      </c>
      <c r="FD114">
        <v>524</v>
      </c>
      <c r="FE114">
        <v>798</v>
      </c>
      <c r="FF114">
        <v>80</v>
      </c>
      <c r="FG114">
        <v>672</v>
      </c>
      <c r="FH114">
        <v>0</v>
      </c>
      <c r="FI114">
        <v>307</v>
      </c>
      <c r="FJ114">
        <v>71</v>
      </c>
      <c r="FK114" s="26" t="s">
        <v>359</v>
      </c>
      <c r="FL114" s="26" t="s">
        <v>359</v>
      </c>
      <c r="FM114" s="26" t="s">
        <v>359</v>
      </c>
      <c r="FN114" s="26" t="s">
        <v>359</v>
      </c>
      <c r="FO114" s="28">
        <v>2813</v>
      </c>
      <c r="FP114" s="28">
        <v>827</v>
      </c>
      <c r="FQ114">
        <v>620</v>
      </c>
      <c r="FR114">
        <v>2</v>
      </c>
      <c r="FS114">
        <v>4</v>
      </c>
      <c r="FT114">
        <v>5</v>
      </c>
      <c r="FU114">
        <v>2468</v>
      </c>
      <c r="FV114">
        <v>4</v>
      </c>
      <c r="FW114">
        <v>2</v>
      </c>
      <c r="FX114">
        <v>0</v>
      </c>
      <c r="FY114">
        <v>2821</v>
      </c>
      <c r="FZ114">
        <v>750</v>
      </c>
      <c r="GA114">
        <v>624</v>
      </c>
      <c r="GB114">
        <v>4</v>
      </c>
      <c r="GC114">
        <v>4</v>
      </c>
      <c r="GD114">
        <v>2</v>
      </c>
      <c r="GE114">
        <v>2480</v>
      </c>
      <c r="GF114">
        <v>4</v>
      </c>
      <c r="GG114">
        <v>2</v>
      </c>
      <c r="GH114">
        <v>0</v>
      </c>
      <c r="GI114">
        <v>312</v>
      </c>
      <c r="GJ114">
        <v>367</v>
      </c>
      <c r="GK114">
        <v>320</v>
      </c>
      <c r="GL114">
        <v>273</v>
      </c>
      <c r="GM114">
        <v>186</v>
      </c>
      <c r="GN114">
        <v>209</v>
      </c>
      <c r="GO114">
        <v>199</v>
      </c>
      <c r="GP114">
        <v>192</v>
      </c>
      <c r="GQ114">
        <v>203</v>
      </c>
      <c r="GR114">
        <v>140</v>
      </c>
      <c r="GS114">
        <v>92</v>
      </c>
      <c r="GT114">
        <v>99</v>
      </c>
      <c r="GU114">
        <v>66</v>
      </c>
      <c r="GV114">
        <v>61</v>
      </c>
      <c r="GW114">
        <v>33</v>
      </c>
      <c r="GX114">
        <v>28</v>
      </c>
      <c r="GY114">
        <v>16</v>
      </c>
      <c r="GZ114">
        <v>17</v>
      </c>
      <c r="HA114">
        <v>304</v>
      </c>
      <c r="HB114">
        <v>321</v>
      </c>
      <c r="HC114">
        <v>289</v>
      </c>
      <c r="HD114">
        <v>247</v>
      </c>
      <c r="HE114">
        <v>217</v>
      </c>
      <c r="HF114">
        <v>245</v>
      </c>
      <c r="HG114">
        <v>213</v>
      </c>
      <c r="HH114">
        <v>240</v>
      </c>
      <c r="HI114">
        <v>213</v>
      </c>
      <c r="HJ114">
        <v>157</v>
      </c>
      <c r="HK114">
        <v>100</v>
      </c>
      <c r="HL114">
        <v>83</v>
      </c>
      <c r="HM114">
        <v>64</v>
      </c>
      <c r="HN114">
        <v>51</v>
      </c>
      <c r="HO114">
        <v>32</v>
      </c>
      <c r="HP114">
        <v>17</v>
      </c>
      <c r="HQ114">
        <v>14</v>
      </c>
      <c r="HR114">
        <v>14</v>
      </c>
      <c r="HS114">
        <v>1708</v>
      </c>
      <c r="HT114">
        <v>0</v>
      </c>
      <c r="HU114">
        <v>0</v>
      </c>
      <c r="HV114">
        <v>0</v>
      </c>
      <c r="HW114">
        <v>2</v>
      </c>
      <c r="HX114">
        <v>0</v>
      </c>
      <c r="HY114">
        <v>0</v>
      </c>
      <c r="HZ114">
        <v>0</v>
      </c>
      <c r="IA114">
        <v>93</v>
      </c>
      <c r="IB114">
        <v>265</v>
      </c>
      <c r="IC114">
        <v>295</v>
      </c>
      <c r="ID114">
        <v>432</v>
      </c>
      <c r="IE114">
        <v>307</v>
      </c>
      <c r="IF114">
        <v>182</v>
      </c>
      <c r="IG114">
        <v>76</v>
      </c>
      <c r="IH114">
        <v>27</v>
      </c>
      <c r="II114">
        <v>56</v>
      </c>
      <c r="IJ114">
        <v>567</v>
      </c>
      <c r="IK114">
        <v>688</v>
      </c>
      <c r="IL114">
        <v>327</v>
      </c>
      <c r="IM114">
        <v>113</v>
      </c>
      <c r="IN114">
        <v>27</v>
      </c>
      <c r="IO114">
        <v>2</v>
      </c>
      <c r="IP114">
        <v>8</v>
      </c>
      <c r="IQ114">
        <v>0</v>
      </c>
      <c r="IR114">
        <v>1</v>
      </c>
      <c r="IS114">
        <v>1108</v>
      </c>
      <c r="IT114">
        <v>493</v>
      </c>
      <c r="IU114">
        <v>106</v>
      </c>
      <c r="IV114">
        <v>19</v>
      </c>
      <c r="IW114">
        <v>7</v>
      </c>
      <c r="IX114">
        <v>1022</v>
      </c>
      <c r="IY114">
        <v>656</v>
      </c>
      <c r="IZ114">
        <v>1</v>
      </c>
      <c r="JA114">
        <v>13</v>
      </c>
      <c r="JB114">
        <v>0</v>
      </c>
      <c r="JC114">
        <v>10</v>
      </c>
      <c r="JD114">
        <v>1679</v>
      </c>
      <c r="JE114">
        <v>54</v>
      </c>
      <c r="JF114">
        <v>0</v>
      </c>
      <c r="JH114" s="28">
        <v>1258.9457575445149</v>
      </c>
      <c r="JI114" s="28">
        <v>97.775990306756739</v>
      </c>
      <c r="JJ114">
        <v>181</v>
      </c>
      <c r="JK114">
        <v>1457</v>
      </c>
      <c r="JL114">
        <v>95</v>
      </c>
      <c r="JM114">
        <v>0</v>
      </c>
      <c r="JN114">
        <v>1034</v>
      </c>
      <c r="JO114">
        <v>489</v>
      </c>
      <c r="JP114">
        <v>115</v>
      </c>
      <c r="JQ114">
        <v>1213</v>
      </c>
      <c r="JR114">
        <v>1499</v>
      </c>
      <c r="JS114">
        <v>41</v>
      </c>
      <c r="JT114">
        <v>17</v>
      </c>
      <c r="JU114">
        <v>1143</v>
      </c>
      <c r="JV114">
        <v>75</v>
      </c>
      <c r="JW114" s="28"/>
      <c r="JX114" s="28"/>
      <c r="JY114" s="28"/>
      <c r="JZ114" s="28"/>
      <c r="KA114" s="28">
        <v>1706.9999916300001</v>
      </c>
      <c r="KB114">
        <v>7113</v>
      </c>
      <c r="KC114">
        <v>0</v>
      </c>
      <c r="KD114">
        <v>0</v>
      </c>
      <c r="KE114">
        <v>0</v>
      </c>
      <c r="KF114">
        <v>7</v>
      </c>
      <c r="KG114">
        <v>0</v>
      </c>
      <c r="KH114">
        <v>0</v>
      </c>
      <c r="KI114">
        <v>0</v>
      </c>
      <c r="KJ114">
        <v>837</v>
      </c>
      <c r="KK114">
        <v>5943</v>
      </c>
      <c r="KL114">
        <v>424</v>
      </c>
      <c r="KM114">
        <v>0</v>
      </c>
      <c r="KT114">
        <v>965</v>
      </c>
      <c r="KU114">
        <v>884</v>
      </c>
      <c r="KV114">
        <v>830</v>
      </c>
      <c r="KW114">
        <v>73</v>
      </c>
      <c r="KX114">
        <v>24</v>
      </c>
      <c r="KZ114">
        <v>768</v>
      </c>
      <c r="LA114">
        <v>81</v>
      </c>
      <c r="LB114">
        <v>10</v>
      </c>
      <c r="LD114">
        <v>583</v>
      </c>
      <c r="LE114">
        <v>519</v>
      </c>
      <c r="LF114">
        <v>600</v>
      </c>
      <c r="LG114">
        <v>628</v>
      </c>
      <c r="LH114">
        <v>4837</v>
      </c>
      <c r="LI114">
        <v>10</v>
      </c>
      <c r="LJ114">
        <v>352</v>
      </c>
      <c r="LK114">
        <v>59</v>
      </c>
      <c r="LL114">
        <v>632</v>
      </c>
      <c r="LM114">
        <v>0</v>
      </c>
      <c r="LN114">
        <v>230</v>
      </c>
      <c r="LO114">
        <v>39</v>
      </c>
      <c r="LP114">
        <v>9</v>
      </c>
      <c r="LQ114">
        <v>366</v>
      </c>
      <c r="LR114">
        <v>80</v>
      </c>
      <c r="LS114">
        <v>681</v>
      </c>
      <c r="LT114">
        <v>0</v>
      </c>
      <c r="LU114">
        <v>197</v>
      </c>
      <c r="LV114">
        <v>28</v>
      </c>
      <c r="LW114" s="44"/>
      <c r="LX114" s="44"/>
      <c r="LY114" s="44"/>
      <c r="LZ114">
        <v>1733</v>
      </c>
      <c r="MA114">
        <v>7204</v>
      </c>
      <c r="MB114">
        <v>7284</v>
      </c>
      <c r="MC114">
        <v>737</v>
      </c>
      <c r="MD114" s="26">
        <v>25.387636999999998</v>
      </c>
      <c r="ME114" s="26">
        <v>9.870317</v>
      </c>
      <c r="MF114" s="26">
        <v>57.535663</v>
      </c>
      <c r="MG114" s="26">
        <v>21.869365999999999</v>
      </c>
      <c r="MH114" s="26">
        <v>10.444315999999999</v>
      </c>
      <c r="MI114" s="26">
        <v>1.7311019999999999</v>
      </c>
      <c r="MJ114" s="26">
        <v>2.0196190000000001</v>
      </c>
      <c r="MK114" s="26">
        <v>3.1159839999999996</v>
      </c>
      <c r="ML114" s="26">
        <v>1.500289</v>
      </c>
      <c r="MM114" s="26">
        <v>71.783034999999998</v>
      </c>
      <c r="MN114" s="26">
        <v>40.334679999999999</v>
      </c>
      <c r="MO114" s="26">
        <v>0.72142600000000001</v>
      </c>
      <c r="MP114" t="s">
        <v>1029</v>
      </c>
      <c r="MQ114">
        <v>499</v>
      </c>
      <c r="MR114">
        <v>45</v>
      </c>
    </row>
    <row r="115" spans="1:356">
      <c r="A115" t="s">
        <v>235</v>
      </c>
      <c r="B115" t="s">
        <v>236</v>
      </c>
      <c r="C115">
        <v>26866</v>
      </c>
      <c r="D115">
        <v>31723</v>
      </c>
      <c r="E115">
        <v>38025</v>
      </c>
      <c r="F115">
        <f t="shared" si="6"/>
        <v>6302</v>
      </c>
      <c r="G115" s="26">
        <f t="shared" si="7"/>
        <v>19.865712574472781</v>
      </c>
      <c r="H115">
        <v>18507</v>
      </c>
      <c r="I115">
        <v>19518</v>
      </c>
      <c r="J115">
        <v>10962</v>
      </c>
      <c r="K115">
        <v>27063</v>
      </c>
      <c r="L115">
        <v>2172</v>
      </c>
      <c r="M115">
        <v>2413</v>
      </c>
      <c r="N115">
        <v>2200</v>
      </c>
      <c r="O115">
        <v>1943</v>
      </c>
      <c r="P115">
        <v>1444</v>
      </c>
      <c r="Q115">
        <v>1335</v>
      </c>
      <c r="R115">
        <v>1242</v>
      </c>
      <c r="S115">
        <v>1099</v>
      </c>
      <c r="T115">
        <v>945</v>
      </c>
      <c r="U115">
        <v>798</v>
      </c>
      <c r="V115">
        <v>720</v>
      </c>
      <c r="W115">
        <v>566</v>
      </c>
      <c r="X115">
        <v>497</v>
      </c>
      <c r="Y115">
        <v>1133</v>
      </c>
      <c r="Z115">
        <v>0</v>
      </c>
      <c r="AA115">
        <v>2227</v>
      </c>
      <c r="AB115">
        <v>2466</v>
      </c>
      <c r="AC115">
        <v>2223</v>
      </c>
      <c r="AD115">
        <v>1818</v>
      </c>
      <c r="AE115">
        <v>1622</v>
      </c>
      <c r="AF115">
        <v>1462</v>
      </c>
      <c r="AG115">
        <v>1366</v>
      </c>
      <c r="AH115">
        <v>1199</v>
      </c>
      <c r="AI115">
        <v>1034</v>
      </c>
      <c r="AJ115">
        <v>900</v>
      </c>
      <c r="AK115">
        <v>800</v>
      </c>
      <c r="AL115">
        <v>658</v>
      </c>
      <c r="AM115">
        <v>576</v>
      </c>
      <c r="AN115">
        <v>1167</v>
      </c>
      <c r="AO115">
        <v>0</v>
      </c>
      <c r="AP115">
        <v>37888</v>
      </c>
      <c r="AQ115">
        <v>129</v>
      </c>
      <c r="AR115">
        <v>0</v>
      </c>
      <c r="AS115">
        <v>7</v>
      </c>
      <c r="AT115">
        <v>1</v>
      </c>
      <c r="AU115">
        <v>34014</v>
      </c>
      <c r="AV115">
        <v>16563</v>
      </c>
      <c r="AW115">
        <v>17451</v>
      </c>
      <c r="AX115">
        <v>19915</v>
      </c>
      <c r="AY115">
        <v>28152</v>
      </c>
      <c r="AZ115">
        <v>22722</v>
      </c>
      <c r="BA115">
        <v>5430</v>
      </c>
      <c r="BB115">
        <v>855</v>
      </c>
      <c r="BC115">
        <v>861</v>
      </c>
      <c r="BD115">
        <v>2227</v>
      </c>
      <c r="BE115">
        <v>2305</v>
      </c>
      <c r="BF115">
        <v>2098</v>
      </c>
      <c r="BG115">
        <v>2116</v>
      </c>
      <c r="BH115">
        <v>1864</v>
      </c>
      <c r="BI115">
        <v>1732</v>
      </c>
      <c r="BJ115">
        <v>1395</v>
      </c>
      <c r="BK115">
        <v>1547</v>
      </c>
      <c r="BL115">
        <v>1293</v>
      </c>
      <c r="BM115">
        <v>1390</v>
      </c>
      <c r="BN115">
        <v>1205</v>
      </c>
      <c r="BO115">
        <v>1307</v>
      </c>
      <c r="BP115">
        <v>1065</v>
      </c>
      <c r="BQ115">
        <v>1159</v>
      </c>
      <c r="BR115">
        <v>918</v>
      </c>
      <c r="BS115">
        <v>1009</v>
      </c>
      <c r="BT115">
        <v>778</v>
      </c>
      <c r="BU115">
        <v>883</v>
      </c>
      <c r="BV115">
        <v>700</v>
      </c>
      <c r="BW115">
        <v>784</v>
      </c>
      <c r="BX115">
        <v>559</v>
      </c>
      <c r="BY115">
        <v>650</v>
      </c>
      <c r="BZ115">
        <v>488</v>
      </c>
      <c r="CA115">
        <v>566</v>
      </c>
      <c r="CB115">
        <v>1118</v>
      </c>
      <c r="CC115">
        <v>1142</v>
      </c>
      <c r="CD115">
        <v>13169</v>
      </c>
      <c r="CE115">
        <v>11115</v>
      </c>
      <c r="CF115">
        <v>3246</v>
      </c>
      <c r="CG115">
        <v>6130</v>
      </c>
      <c r="CH115">
        <v>6702</v>
      </c>
      <c r="CI115">
        <v>1265</v>
      </c>
      <c r="CJ115">
        <v>33178</v>
      </c>
      <c r="CK115">
        <v>4623</v>
      </c>
      <c r="CL115">
        <v>365</v>
      </c>
      <c r="CM115">
        <v>969</v>
      </c>
      <c r="CN115">
        <v>1260</v>
      </c>
      <c r="CO115">
        <v>1475</v>
      </c>
      <c r="CP115">
        <v>1305</v>
      </c>
      <c r="CQ115">
        <v>2593</v>
      </c>
      <c r="CR115">
        <v>6435</v>
      </c>
      <c r="CS115">
        <v>19180</v>
      </c>
      <c r="CT115">
        <v>2052</v>
      </c>
      <c r="CU115">
        <v>829</v>
      </c>
      <c r="CV115">
        <v>377</v>
      </c>
      <c r="CW115">
        <v>946</v>
      </c>
      <c r="CX115">
        <v>15</v>
      </c>
      <c r="CY115">
        <v>5586</v>
      </c>
      <c r="CZ115">
        <v>2003</v>
      </c>
      <c r="DA115">
        <v>12</v>
      </c>
      <c r="DB115">
        <v>365</v>
      </c>
      <c r="DC115">
        <v>1</v>
      </c>
      <c r="DD115">
        <v>2268</v>
      </c>
      <c r="DE115">
        <v>4016</v>
      </c>
      <c r="DF115">
        <v>2774</v>
      </c>
      <c r="DG115">
        <v>18005</v>
      </c>
      <c r="DH115">
        <v>10962</v>
      </c>
      <c r="DI115">
        <v>0</v>
      </c>
      <c r="DJ115">
        <v>0</v>
      </c>
      <c r="DK115">
        <v>0</v>
      </c>
      <c r="DL115">
        <v>0</v>
      </c>
      <c r="DM115">
        <v>65</v>
      </c>
      <c r="DN115">
        <v>24</v>
      </c>
      <c r="DO115">
        <v>8</v>
      </c>
      <c r="DP115">
        <v>24</v>
      </c>
      <c r="DQ115">
        <v>3</v>
      </c>
      <c r="DR115">
        <v>0</v>
      </c>
      <c r="DS115">
        <v>0</v>
      </c>
      <c r="DT115">
        <v>0</v>
      </c>
      <c r="DU115">
        <v>0</v>
      </c>
      <c r="DV115">
        <v>854</v>
      </c>
      <c r="DW115">
        <v>1042</v>
      </c>
      <c r="DX115">
        <v>1416</v>
      </c>
      <c r="DY115">
        <v>1423</v>
      </c>
      <c r="DZ115">
        <v>745</v>
      </c>
      <c r="EA115">
        <v>705</v>
      </c>
      <c r="EB115">
        <v>300</v>
      </c>
      <c r="EC115">
        <v>268</v>
      </c>
      <c r="ED115">
        <v>242</v>
      </c>
      <c r="EE115">
        <v>296</v>
      </c>
      <c r="EF115">
        <v>443</v>
      </c>
      <c r="EG115">
        <v>524</v>
      </c>
      <c r="EH115">
        <v>153</v>
      </c>
      <c r="EI115">
        <v>136</v>
      </c>
      <c r="EJ115">
        <v>1534</v>
      </c>
      <c r="EK115">
        <v>2383</v>
      </c>
      <c r="EL115">
        <v>1207</v>
      </c>
      <c r="EM115">
        <v>466</v>
      </c>
      <c r="EN115">
        <v>435</v>
      </c>
      <c r="EO115">
        <v>795</v>
      </c>
      <c r="EP115">
        <v>216</v>
      </c>
      <c r="EQ115">
        <v>9689</v>
      </c>
      <c r="ER115">
        <v>9281</v>
      </c>
      <c r="ES115">
        <v>408</v>
      </c>
      <c r="ET115">
        <v>3293</v>
      </c>
      <c r="EU115">
        <v>2058</v>
      </c>
      <c r="EV115">
        <v>2016</v>
      </c>
      <c r="EW115">
        <v>42</v>
      </c>
      <c r="EX115">
        <v>11784</v>
      </c>
      <c r="EY115" s="26">
        <v>75.355322999999999</v>
      </c>
      <c r="EZ115" s="26">
        <v>5.3365520000000002</v>
      </c>
      <c r="FA115" s="26">
        <v>6.0784840000000004</v>
      </c>
      <c r="FB115" s="26">
        <v>12.845267</v>
      </c>
      <c r="FC115" s="26">
        <v>0.38437500000000002</v>
      </c>
      <c r="FD115">
        <v>1794</v>
      </c>
      <c r="FE115">
        <v>3982</v>
      </c>
      <c r="FF115">
        <v>512</v>
      </c>
      <c r="FG115">
        <v>2637</v>
      </c>
      <c r="FH115">
        <v>2</v>
      </c>
      <c r="FI115">
        <v>2216</v>
      </c>
      <c r="FJ115">
        <v>601</v>
      </c>
      <c r="FK115" s="26" t="s">
        <v>359</v>
      </c>
      <c r="FL115" s="26" t="s">
        <v>359</v>
      </c>
      <c r="FM115" s="26" t="s">
        <v>359</v>
      </c>
      <c r="FN115" s="26" t="s">
        <v>359</v>
      </c>
      <c r="FO115" s="28">
        <v>14973</v>
      </c>
      <c r="FP115" s="28">
        <v>3532</v>
      </c>
      <c r="FQ115">
        <v>762</v>
      </c>
      <c r="FR115">
        <v>286</v>
      </c>
      <c r="FS115">
        <v>23</v>
      </c>
      <c r="FT115">
        <v>8</v>
      </c>
      <c r="FU115">
        <v>12006</v>
      </c>
      <c r="FV115">
        <v>93</v>
      </c>
      <c r="FW115">
        <v>220</v>
      </c>
      <c r="FX115">
        <v>2</v>
      </c>
      <c r="FY115">
        <v>16138</v>
      </c>
      <c r="FZ115">
        <v>3380</v>
      </c>
      <c r="GA115">
        <v>776</v>
      </c>
      <c r="GB115">
        <v>257</v>
      </c>
      <c r="GC115">
        <v>23</v>
      </c>
      <c r="GD115">
        <v>5</v>
      </c>
      <c r="GE115">
        <v>13041</v>
      </c>
      <c r="GF115">
        <v>96</v>
      </c>
      <c r="GG115">
        <v>230</v>
      </c>
      <c r="GH115">
        <v>0</v>
      </c>
      <c r="GI115">
        <v>1484</v>
      </c>
      <c r="GJ115">
        <v>2053</v>
      </c>
      <c r="GK115">
        <v>1943</v>
      </c>
      <c r="GL115">
        <v>1605</v>
      </c>
      <c r="GM115">
        <v>1092</v>
      </c>
      <c r="GN115">
        <v>1022</v>
      </c>
      <c r="GO115">
        <v>1002</v>
      </c>
      <c r="GP115">
        <v>916</v>
      </c>
      <c r="GQ115">
        <v>792</v>
      </c>
      <c r="GR115">
        <v>665</v>
      </c>
      <c r="GS115">
        <v>575</v>
      </c>
      <c r="GT115">
        <v>461</v>
      </c>
      <c r="GU115">
        <v>426</v>
      </c>
      <c r="GV115">
        <v>336</v>
      </c>
      <c r="GW115">
        <v>218</v>
      </c>
      <c r="GX115">
        <v>177</v>
      </c>
      <c r="GY115">
        <v>109</v>
      </c>
      <c r="GZ115">
        <v>97</v>
      </c>
      <c r="HA115">
        <v>1523</v>
      </c>
      <c r="HB115">
        <v>2101</v>
      </c>
      <c r="HC115">
        <v>1937</v>
      </c>
      <c r="HD115">
        <v>1460</v>
      </c>
      <c r="HE115">
        <v>1279</v>
      </c>
      <c r="HF115">
        <v>1233</v>
      </c>
      <c r="HG115">
        <v>1173</v>
      </c>
      <c r="HH115">
        <v>1040</v>
      </c>
      <c r="HI115">
        <v>907</v>
      </c>
      <c r="HJ115">
        <v>776</v>
      </c>
      <c r="HK115">
        <v>683</v>
      </c>
      <c r="HL115">
        <v>573</v>
      </c>
      <c r="HM115">
        <v>468</v>
      </c>
      <c r="HN115">
        <v>401</v>
      </c>
      <c r="HO115">
        <v>225</v>
      </c>
      <c r="HP115">
        <v>152</v>
      </c>
      <c r="HQ115">
        <v>120</v>
      </c>
      <c r="HR115">
        <v>87</v>
      </c>
      <c r="HS115">
        <v>6575</v>
      </c>
      <c r="HT115">
        <v>0</v>
      </c>
      <c r="HU115">
        <v>2</v>
      </c>
      <c r="HV115">
        <v>0</v>
      </c>
      <c r="HW115">
        <v>19</v>
      </c>
      <c r="HX115">
        <v>0</v>
      </c>
      <c r="HY115">
        <v>2</v>
      </c>
      <c r="HZ115">
        <v>0</v>
      </c>
      <c r="IA115">
        <v>363</v>
      </c>
      <c r="IB115">
        <v>967</v>
      </c>
      <c r="IC115">
        <v>1258</v>
      </c>
      <c r="ID115">
        <v>1468</v>
      </c>
      <c r="IE115">
        <v>1304</v>
      </c>
      <c r="IF115">
        <v>986</v>
      </c>
      <c r="IG115">
        <v>648</v>
      </c>
      <c r="IH115">
        <v>419</v>
      </c>
      <c r="II115">
        <v>533</v>
      </c>
      <c r="IJ115">
        <v>560</v>
      </c>
      <c r="IK115">
        <v>2329</v>
      </c>
      <c r="IL115">
        <v>2836</v>
      </c>
      <c r="IM115">
        <v>1373</v>
      </c>
      <c r="IN115">
        <v>569</v>
      </c>
      <c r="IO115">
        <v>177</v>
      </c>
      <c r="IP115">
        <v>58</v>
      </c>
      <c r="IQ115">
        <v>27</v>
      </c>
      <c r="IR115">
        <v>16</v>
      </c>
      <c r="IS115">
        <v>3073</v>
      </c>
      <c r="IT115">
        <v>3397</v>
      </c>
      <c r="IU115">
        <v>1018</v>
      </c>
      <c r="IV115">
        <v>350</v>
      </c>
      <c r="IW115">
        <v>107</v>
      </c>
      <c r="IX115">
        <v>1336</v>
      </c>
      <c r="IY115">
        <v>3219</v>
      </c>
      <c r="IZ115">
        <v>90</v>
      </c>
      <c r="JA115">
        <v>69</v>
      </c>
      <c r="JB115">
        <v>3</v>
      </c>
      <c r="JC115">
        <v>201</v>
      </c>
      <c r="JD115">
        <v>6581</v>
      </c>
      <c r="JE115">
        <v>1364</v>
      </c>
      <c r="JF115">
        <v>1</v>
      </c>
      <c r="JH115" s="28">
        <v>5456.8553509850972</v>
      </c>
      <c r="JI115" s="28">
        <v>503.75995444458204</v>
      </c>
      <c r="JJ115">
        <v>886</v>
      </c>
      <c r="JK115">
        <v>6979</v>
      </c>
      <c r="JL115">
        <v>80</v>
      </c>
      <c r="JM115">
        <v>1</v>
      </c>
      <c r="JN115">
        <v>2042</v>
      </c>
      <c r="JO115">
        <v>331</v>
      </c>
      <c r="JP115">
        <v>312</v>
      </c>
      <c r="JQ115">
        <v>4087</v>
      </c>
      <c r="JR115">
        <v>4624</v>
      </c>
      <c r="JS115">
        <v>248</v>
      </c>
      <c r="JT115">
        <v>82</v>
      </c>
      <c r="JU115">
        <v>2612</v>
      </c>
      <c r="JV115">
        <v>731</v>
      </c>
      <c r="JW115" s="28"/>
      <c r="JX115" s="28"/>
      <c r="JY115" s="28"/>
      <c r="JZ115" s="28"/>
      <c r="KA115" s="28">
        <v>7639.0000126599998</v>
      </c>
      <c r="KB115">
        <v>31908</v>
      </c>
      <c r="KC115">
        <v>0</v>
      </c>
      <c r="KD115">
        <v>5</v>
      </c>
      <c r="KE115">
        <v>0</v>
      </c>
      <c r="KF115">
        <v>87</v>
      </c>
      <c r="KG115">
        <v>0</v>
      </c>
      <c r="KH115">
        <v>6</v>
      </c>
      <c r="KI115">
        <v>0</v>
      </c>
      <c r="KJ115">
        <v>4387</v>
      </c>
      <c r="KK115">
        <v>32955</v>
      </c>
      <c r="KL115">
        <v>360</v>
      </c>
      <c r="KM115">
        <v>6</v>
      </c>
      <c r="KT115">
        <v>5794</v>
      </c>
      <c r="KU115">
        <v>5783</v>
      </c>
      <c r="KV115">
        <v>4865</v>
      </c>
      <c r="KW115">
        <v>623</v>
      </c>
      <c r="KX115">
        <v>115</v>
      </c>
      <c r="KZ115">
        <v>4911</v>
      </c>
      <c r="LA115">
        <v>590</v>
      </c>
      <c r="LB115">
        <v>102</v>
      </c>
      <c r="LD115">
        <v>3309</v>
      </c>
      <c r="LE115">
        <v>3443</v>
      </c>
      <c r="LF115">
        <v>2011</v>
      </c>
      <c r="LG115">
        <v>4478</v>
      </c>
      <c r="LH115">
        <v>24324</v>
      </c>
      <c r="LI115">
        <v>56</v>
      </c>
      <c r="LJ115">
        <v>1742</v>
      </c>
      <c r="LK115">
        <v>549</v>
      </c>
      <c r="LL115">
        <v>2611</v>
      </c>
      <c r="LM115">
        <v>1</v>
      </c>
      <c r="LN115">
        <v>1805</v>
      </c>
      <c r="LO115">
        <v>370</v>
      </c>
      <c r="LP115">
        <v>67</v>
      </c>
      <c r="LQ115">
        <v>1629</v>
      </c>
      <c r="LR115">
        <v>430</v>
      </c>
      <c r="LS115">
        <v>2282</v>
      </c>
      <c r="LT115">
        <v>1</v>
      </c>
      <c r="LU115">
        <v>1455</v>
      </c>
      <c r="LV115">
        <v>217</v>
      </c>
      <c r="LW115" s="44"/>
      <c r="LX115" s="44"/>
      <c r="LY115" s="44"/>
      <c r="LZ115">
        <v>7946</v>
      </c>
      <c r="MA115">
        <v>37708</v>
      </c>
      <c r="MB115">
        <v>34305</v>
      </c>
      <c r="MC115">
        <v>30841</v>
      </c>
      <c r="MD115" s="26">
        <v>26.677356</v>
      </c>
      <c r="ME115" s="26">
        <v>9.4867809999999988</v>
      </c>
      <c r="MF115" s="26">
        <v>57.465876999999999</v>
      </c>
      <c r="MG115" s="26">
        <v>18.177515</v>
      </c>
      <c r="MH115" s="26">
        <v>11.150264</v>
      </c>
      <c r="MI115" s="26">
        <v>5.6883970000000001</v>
      </c>
      <c r="MJ115" s="26">
        <v>17.669267999999999</v>
      </c>
      <c r="MK115" s="26">
        <v>17.165869999999998</v>
      </c>
      <c r="ML115" s="26">
        <v>3.8635789999999997</v>
      </c>
      <c r="MM115" s="26">
        <v>95.834381999999991</v>
      </c>
      <c r="MN115" s="26">
        <v>74.301535000000001</v>
      </c>
      <c r="MO115" s="26">
        <v>1.674061</v>
      </c>
      <c r="MP115" t="s">
        <v>1028</v>
      </c>
      <c r="MQ115">
        <v>180</v>
      </c>
      <c r="MR115">
        <v>21</v>
      </c>
    </row>
    <row r="116" spans="1:356">
      <c r="A116" t="s">
        <v>239</v>
      </c>
      <c r="B116" t="s">
        <v>240</v>
      </c>
      <c r="C116">
        <v>33467</v>
      </c>
      <c r="D116">
        <v>37737</v>
      </c>
      <c r="E116">
        <v>41024</v>
      </c>
      <c r="F116">
        <f t="shared" si="6"/>
        <v>3287</v>
      </c>
      <c r="G116" s="26">
        <f t="shared" si="7"/>
        <v>8.7102843363277458</v>
      </c>
      <c r="H116">
        <v>19777</v>
      </c>
      <c r="I116">
        <v>21247</v>
      </c>
      <c r="J116">
        <v>16539</v>
      </c>
      <c r="K116">
        <v>24485</v>
      </c>
      <c r="L116">
        <v>1932</v>
      </c>
      <c r="M116">
        <v>1975</v>
      </c>
      <c r="N116">
        <v>2050</v>
      </c>
      <c r="O116">
        <v>1887</v>
      </c>
      <c r="P116">
        <v>1480</v>
      </c>
      <c r="Q116">
        <v>1255</v>
      </c>
      <c r="R116">
        <v>1306</v>
      </c>
      <c r="S116">
        <v>1262</v>
      </c>
      <c r="T116">
        <v>1313</v>
      </c>
      <c r="U116">
        <v>1067</v>
      </c>
      <c r="V116">
        <v>992</v>
      </c>
      <c r="W116">
        <v>859</v>
      </c>
      <c r="X116">
        <v>755</v>
      </c>
      <c r="Y116">
        <v>1642</v>
      </c>
      <c r="Z116">
        <v>2</v>
      </c>
      <c r="AA116">
        <v>1965</v>
      </c>
      <c r="AB116">
        <v>1872</v>
      </c>
      <c r="AC116">
        <v>1947</v>
      </c>
      <c r="AD116">
        <v>1888</v>
      </c>
      <c r="AE116">
        <v>1627</v>
      </c>
      <c r="AF116">
        <v>1640</v>
      </c>
      <c r="AG116">
        <v>1525</v>
      </c>
      <c r="AH116">
        <v>1538</v>
      </c>
      <c r="AI116">
        <v>1509</v>
      </c>
      <c r="AJ116">
        <v>1178</v>
      </c>
      <c r="AK116">
        <v>1178</v>
      </c>
      <c r="AL116">
        <v>897</v>
      </c>
      <c r="AM116">
        <v>770</v>
      </c>
      <c r="AN116">
        <v>1711</v>
      </c>
      <c r="AO116">
        <v>2</v>
      </c>
      <c r="AP116">
        <v>38424</v>
      </c>
      <c r="AQ116">
        <v>1093</v>
      </c>
      <c r="AR116">
        <v>59</v>
      </c>
      <c r="AS116">
        <v>1439</v>
      </c>
      <c r="AT116">
        <v>9</v>
      </c>
      <c r="AU116">
        <v>86</v>
      </c>
      <c r="AV116">
        <v>42</v>
      </c>
      <c r="AW116">
        <v>44</v>
      </c>
      <c r="AX116">
        <v>74</v>
      </c>
      <c r="AY116">
        <v>87</v>
      </c>
      <c r="AZ116">
        <v>53</v>
      </c>
      <c r="BA116">
        <v>34</v>
      </c>
      <c r="BB116">
        <v>1</v>
      </c>
      <c r="BC116">
        <v>0</v>
      </c>
      <c r="BD116">
        <v>1</v>
      </c>
      <c r="BE116">
        <v>2</v>
      </c>
      <c r="BF116">
        <v>1</v>
      </c>
      <c r="BG116">
        <v>4</v>
      </c>
      <c r="BH116">
        <v>5</v>
      </c>
      <c r="BI116">
        <v>2</v>
      </c>
      <c r="BJ116">
        <v>5</v>
      </c>
      <c r="BK116">
        <v>3</v>
      </c>
      <c r="BL116">
        <v>2</v>
      </c>
      <c r="BM116">
        <v>5</v>
      </c>
      <c r="BN116">
        <v>6</v>
      </c>
      <c r="BO116">
        <v>6</v>
      </c>
      <c r="BP116">
        <v>3</v>
      </c>
      <c r="BQ116">
        <v>2</v>
      </c>
      <c r="BR116">
        <v>5</v>
      </c>
      <c r="BS116">
        <v>6</v>
      </c>
      <c r="BT116">
        <v>2</v>
      </c>
      <c r="BU116">
        <v>5</v>
      </c>
      <c r="BV116">
        <v>4</v>
      </c>
      <c r="BW116">
        <v>3</v>
      </c>
      <c r="BX116">
        <v>4</v>
      </c>
      <c r="BY116">
        <v>3</v>
      </c>
      <c r="BZ116">
        <v>1</v>
      </c>
      <c r="CA116">
        <v>1</v>
      </c>
      <c r="CB116">
        <v>2</v>
      </c>
      <c r="CC116">
        <v>2</v>
      </c>
      <c r="CD116">
        <v>42</v>
      </c>
      <c r="CE116">
        <v>44</v>
      </c>
      <c r="CF116">
        <v>0</v>
      </c>
      <c r="CG116">
        <v>0</v>
      </c>
      <c r="CH116">
        <v>7359</v>
      </c>
      <c r="CI116">
        <v>3273</v>
      </c>
      <c r="CJ116">
        <v>29543</v>
      </c>
      <c r="CK116">
        <v>11477</v>
      </c>
      <c r="CL116">
        <v>1095</v>
      </c>
      <c r="CM116">
        <v>1750</v>
      </c>
      <c r="CN116">
        <v>1984</v>
      </c>
      <c r="CO116">
        <v>2316</v>
      </c>
      <c r="CP116">
        <v>1622</v>
      </c>
      <c r="CQ116">
        <v>1865</v>
      </c>
      <c r="CR116">
        <v>6915</v>
      </c>
      <c r="CS116">
        <v>16226</v>
      </c>
      <c r="CT116">
        <v>4046</v>
      </c>
      <c r="CU116">
        <v>1207</v>
      </c>
      <c r="CV116">
        <v>429</v>
      </c>
      <c r="CW116">
        <v>1375</v>
      </c>
      <c r="CX116">
        <v>187</v>
      </c>
      <c r="CY116">
        <v>6204</v>
      </c>
      <c r="CZ116">
        <v>3195</v>
      </c>
      <c r="DA116">
        <v>116</v>
      </c>
      <c r="DB116">
        <v>1095</v>
      </c>
      <c r="DC116">
        <v>21</v>
      </c>
      <c r="DD116">
        <v>466</v>
      </c>
      <c r="DE116">
        <v>485</v>
      </c>
      <c r="DF116">
        <v>1706</v>
      </c>
      <c r="DG116">
        <v>21828</v>
      </c>
      <c r="DH116">
        <v>8877</v>
      </c>
      <c r="DI116">
        <v>7662</v>
      </c>
      <c r="DJ116">
        <v>0</v>
      </c>
      <c r="DK116">
        <v>0</v>
      </c>
      <c r="DL116">
        <v>0</v>
      </c>
      <c r="DM116">
        <v>18</v>
      </c>
      <c r="DN116">
        <v>3</v>
      </c>
      <c r="DO116">
        <v>5</v>
      </c>
      <c r="DP116">
        <v>21</v>
      </c>
      <c r="DQ116">
        <v>3</v>
      </c>
      <c r="DR116">
        <v>1</v>
      </c>
      <c r="DS116">
        <v>0</v>
      </c>
      <c r="DT116">
        <v>0</v>
      </c>
      <c r="DU116">
        <v>0</v>
      </c>
      <c r="DV116">
        <v>982</v>
      </c>
      <c r="DW116">
        <v>1018</v>
      </c>
      <c r="DX116">
        <v>1295</v>
      </c>
      <c r="DY116">
        <v>1484</v>
      </c>
      <c r="DZ116">
        <v>598</v>
      </c>
      <c r="EA116">
        <v>505</v>
      </c>
      <c r="EB116">
        <v>420</v>
      </c>
      <c r="EC116">
        <v>332</v>
      </c>
      <c r="ED116">
        <v>352</v>
      </c>
      <c r="EE116">
        <v>314</v>
      </c>
      <c r="EF116">
        <v>414</v>
      </c>
      <c r="EG116">
        <v>436</v>
      </c>
      <c r="EH116">
        <v>220</v>
      </c>
      <c r="EI116">
        <v>190</v>
      </c>
      <c r="EJ116">
        <v>1256</v>
      </c>
      <c r="EK116">
        <v>1776</v>
      </c>
      <c r="EL116">
        <v>650</v>
      </c>
      <c r="EM116">
        <v>397</v>
      </c>
      <c r="EN116">
        <v>389</v>
      </c>
      <c r="EO116">
        <v>517</v>
      </c>
      <c r="EP116">
        <v>244</v>
      </c>
      <c r="EQ116">
        <v>10977</v>
      </c>
      <c r="ER116">
        <v>10798</v>
      </c>
      <c r="ES116">
        <v>179</v>
      </c>
      <c r="ET116">
        <v>4018</v>
      </c>
      <c r="EU116">
        <v>7065</v>
      </c>
      <c r="EV116">
        <v>7004</v>
      </c>
      <c r="EW116">
        <v>61</v>
      </c>
      <c r="EX116">
        <v>9506</v>
      </c>
      <c r="EY116" s="26">
        <v>28.211506</v>
      </c>
      <c r="EZ116" s="26">
        <v>12.797881</v>
      </c>
      <c r="FA116" s="26">
        <v>16.047501</v>
      </c>
      <c r="FB116" s="26">
        <v>41.980262000000003</v>
      </c>
      <c r="FC116" s="26">
        <v>0.96284999999999998</v>
      </c>
      <c r="FD116">
        <v>1900</v>
      </c>
      <c r="FE116">
        <v>3892</v>
      </c>
      <c r="FF116">
        <v>449</v>
      </c>
      <c r="FG116">
        <v>4478</v>
      </c>
      <c r="FH116">
        <v>18</v>
      </c>
      <c r="FI116">
        <v>4095</v>
      </c>
      <c r="FJ116">
        <v>3184</v>
      </c>
      <c r="FK116" s="26" t="s">
        <v>359</v>
      </c>
      <c r="FL116" s="26" t="s">
        <v>359</v>
      </c>
      <c r="FM116" s="26" t="s">
        <v>359</v>
      </c>
      <c r="FN116" s="26" t="s">
        <v>359</v>
      </c>
      <c r="FO116" s="28">
        <v>10816</v>
      </c>
      <c r="FP116" s="28">
        <v>8955</v>
      </c>
      <c r="FQ116">
        <v>2955</v>
      </c>
      <c r="FR116">
        <v>1406</v>
      </c>
      <c r="FS116">
        <v>128</v>
      </c>
      <c r="FT116">
        <v>738</v>
      </c>
      <c r="FU116">
        <v>5416</v>
      </c>
      <c r="FV116">
        <v>128</v>
      </c>
      <c r="FW116">
        <v>72</v>
      </c>
      <c r="FX116">
        <v>6</v>
      </c>
      <c r="FY116">
        <v>12427</v>
      </c>
      <c r="FZ116">
        <v>8810</v>
      </c>
      <c r="GA116">
        <v>3264</v>
      </c>
      <c r="GB116">
        <v>1692</v>
      </c>
      <c r="GC116">
        <v>149</v>
      </c>
      <c r="GD116">
        <v>817</v>
      </c>
      <c r="GE116">
        <v>6336</v>
      </c>
      <c r="GF116">
        <v>117</v>
      </c>
      <c r="GG116">
        <v>85</v>
      </c>
      <c r="GH116">
        <v>10</v>
      </c>
      <c r="GI116">
        <v>965</v>
      </c>
      <c r="GJ116">
        <v>1136</v>
      </c>
      <c r="GK116">
        <v>1173</v>
      </c>
      <c r="GL116">
        <v>1120</v>
      </c>
      <c r="GM116">
        <v>693</v>
      </c>
      <c r="GN116">
        <v>579</v>
      </c>
      <c r="GO116">
        <v>652</v>
      </c>
      <c r="GP116">
        <v>680</v>
      </c>
      <c r="GQ116">
        <v>739</v>
      </c>
      <c r="GR116">
        <v>598</v>
      </c>
      <c r="GS116">
        <v>569</v>
      </c>
      <c r="GT116">
        <v>479</v>
      </c>
      <c r="GU116">
        <v>444</v>
      </c>
      <c r="GV116">
        <v>309</v>
      </c>
      <c r="GW116">
        <v>227</v>
      </c>
      <c r="GX116">
        <v>212</v>
      </c>
      <c r="GY116">
        <v>120</v>
      </c>
      <c r="GZ116">
        <v>121</v>
      </c>
      <c r="HA116">
        <v>973</v>
      </c>
      <c r="HB116">
        <v>1055</v>
      </c>
      <c r="HC116">
        <v>1159</v>
      </c>
      <c r="HD116">
        <v>1111</v>
      </c>
      <c r="HE116">
        <v>865</v>
      </c>
      <c r="HF116">
        <v>877</v>
      </c>
      <c r="HG116">
        <v>870</v>
      </c>
      <c r="HH116">
        <v>927</v>
      </c>
      <c r="HI116">
        <v>931</v>
      </c>
      <c r="HJ116">
        <v>726</v>
      </c>
      <c r="HK116">
        <v>738</v>
      </c>
      <c r="HL116">
        <v>580</v>
      </c>
      <c r="HM116">
        <v>488</v>
      </c>
      <c r="HN116">
        <v>391</v>
      </c>
      <c r="HO116">
        <v>241</v>
      </c>
      <c r="HP116">
        <v>212</v>
      </c>
      <c r="HQ116">
        <v>149</v>
      </c>
      <c r="HR116">
        <v>134</v>
      </c>
      <c r="HS116">
        <v>8729</v>
      </c>
      <c r="HT116">
        <v>5</v>
      </c>
      <c r="HU116">
        <v>94</v>
      </c>
      <c r="HV116">
        <v>0</v>
      </c>
      <c r="HW116">
        <v>5</v>
      </c>
      <c r="HX116">
        <v>0</v>
      </c>
      <c r="HY116">
        <v>5</v>
      </c>
      <c r="HZ116">
        <v>2</v>
      </c>
      <c r="IA116">
        <v>1092</v>
      </c>
      <c r="IB116">
        <v>1749</v>
      </c>
      <c r="IC116">
        <v>1979</v>
      </c>
      <c r="ID116">
        <v>2315</v>
      </c>
      <c r="IE116">
        <v>1622</v>
      </c>
      <c r="IF116">
        <v>913</v>
      </c>
      <c r="IG116">
        <v>488</v>
      </c>
      <c r="IH116">
        <v>216</v>
      </c>
      <c r="II116">
        <v>248</v>
      </c>
      <c r="IJ116">
        <v>1713</v>
      </c>
      <c r="IK116">
        <v>2186</v>
      </c>
      <c r="IL116">
        <v>2730</v>
      </c>
      <c r="IM116">
        <v>2176</v>
      </c>
      <c r="IN116">
        <v>1141</v>
      </c>
      <c r="IO116">
        <v>482</v>
      </c>
      <c r="IP116">
        <v>124</v>
      </c>
      <c r="IQ116">
        <v>47</v>
      </c>
      <c r="IR116">
        <v>21</v>
      </c>
      <c r="IS116">
        <v>3985</v>
      </c>
      <c r="IT116">
        <v>4082</v>
      </c>
      <c r="IU116">
        <v>1953</v>
      </c>
      <c r="IV116">
        <v>487</v>
      </c>
      <c r="IW116">
        <v>113</v>
      </c>
      <c r="IX116">
        <v>4197</v>
      </c>
      <c r="IY116">
        <v>832</v>
      </c>
      <c r="IZ116">
        <v>2</v>
      </c>
      <c r="JA116">
        <v>144</v>
      </c>
      <c r="JB116">
        <v>1</v>
      </c>
      <c r="JC116">
        <v>53</v>
      </c>
      <c r="JD116">
        <v>10320</v>
      </c>
      <c r="JE116">
        <v>300</v>
      </c>
      <c r="JF116">
        <v>2</v>
      </c>
      <c r="JH116" s="28">
        <v>8449.2715036359787</v>
      </c>
      <c r="JI116" s="28">
        <v>438.6253222300042</v>
      </c>
      <c r="JJ116">
        <v>1104</v>
      </c>
      <c r="JK116">
        <v>7902</v>
      </c>
      <c r="JL116">
        <v>1614</v>
      </c>
      <c r="JM116">
        <v>2</v>
      </c>
      <c r="JN116">
        <v>8644</v>
      </c>
      <c r="JO116">
        <v>4503</v>
      </c>
      <c r="JP116">
        <v>2537</v>
      </c>
      <c r="JQ116">
        <v>6358</v>
      </c>
      <c r="JR116">
        <v>9031</v>
      </c>
      <c r="JS116">
        <v>1460</v>
      </c>
      <c r="JT116">
        <v>865</v>
      </c>
      <c r="JU116">
        <v>8605</v>
      </c>
      <c r="JV116">
        <v>1605</v>
      </c>
      <c r="JW116" s="28"/>
      <c r="JX116" s="28"/>
      <c r="JY116" s="28"/>
      <c r="JZ116" s="28"/>
      <c r="KA116" s="28">
        <v>10484.0000382</v>
      </c>
      <c r="KB116">
        <v>34047</v>
      </c>
      <c r="KC116">
        <v>10</v>
      </c>
      <c r="KD116">
        <v>283</v>
      </c>
      <c r="KE116">
        <v>0</v>
      </c>
      <c r="KF116">
        <v>13</v>
      </c>
      <c r="KG116">
        <v>0</v>
      </c>
      <c r="KH116">
        <v>11</v>
      </c>
      <c r="KI116">
        <v>4</v>
      </c>
      <c r="KJ116">
        <v>4173</v>
      </c>
      <c r="KK116">
        <v>30965</v>
      </c>
      <c r="KL116">
        <v>5851</v>
      </c>
      <c r="KM116">
        <v>7</v>
      </c>
      <c r="KT116">
        <v>6029</v>
      </c>
      <c r="KU116">
        <v>5833</v>
      </c>
      <c r="KV116">
        <v>4600</v>
      </c>
      <c r="KW116">
        <v>944</v>
      </c>
      <c r="KX116">
        <v>361</v>
      </c>
      <c r="KZ116">
        <v>4427</v>
      </c>
      <c r="LA116">
        <v>839</v>
      </c>
      <c r="LB116">
        <v>398</v>
      </c>
      <c r="LD116">
        <v>3158</v>
      </c>
      <c r="LE116">
        <v>3032</v>
      </c>
      <c r="LF116">
        <v>1277</v>
      </c>
      <c r="LG116">
        <v>2004</v>
      </c>
      <c r="LH116">
        <v>29279</v>
      </c>
      <c r="LI116">
        <v>21</v>
      </c>
      <c r="LJ116">
        <v>1592</v>
      </c>
      <c r="LK116">
        <v>351</v>
      </c>
      <c r="LL116">
        <v>3230</v>
      </c>
      <c r="LM116">
        <v>12</v>
      </c>
      <c r="LN116">
        <v>2747</v>
      </c>
      <c r="LO116">
        <v>1266</v>
      </c>
      <c r="LP116">
        <v>40</v>
      </c>
      <c r="LQ116">
        <v>1838</v>
      </c>
      <c r="LR116">
        <v>381</v>
      </c>
      <c r="LS116">
        <v>4024</v>
      </c>
      <c r="LT116">
        <v>21</v>
      </c>
      <c r="LU116">
        <v>2526</v>
      </c>
      <c r="LV116">
        <v>1367</v>
      </c>
      <c r="LW116" s="44"/>
      <c r="LX116" s="44"/>
      <c r="LY116" s="44"/>
      <c r="LZ116">
        <v>10622</v>
      </c>
      <c r="MA116">
        <v>40996</v>
      </c>
      <c r="MB116">
        <v>41823</v>
      </c>
      <c r="MC116">
        <v>52</v>
      </c>
      <c r="MD116" s="26">
        <v>11.205983999999999</v>
      </c>
      <c r="ME116" s="26">
        <v>7.6278410000000001</v>
      </c>
      <c r="MF116" s="26">
        <v>36.203421999999996</v>
      </c>
      <c r="MG116" s="26">
        <v>43.303919999999998</v>
      </c>
      <c r="MH116" s="26">
        <v>10.393523</v>
      </c>
      <c r="MI116" s="26">
        <v>2.8619849999999998</v>
      </c>
      <c r="MJ116" s="26">
        <v>25.362454999999997</v>
      </c>
      <c r="MK116" s="26">
        <v>2.8243269999999998</v>
      </c>
      <c r="ML116" s="26">
        <v>1.2991899999999998</v>
      </c>
      <c r="MM116" s="26">
        <v>57.606853999999998</v>
      </c>
      <c r="MN116" s="26">
        <v>18.621727999999997</v>
      </c>
      <c r="MO116" s="26">
        <v>4.7119000000000001E-2</v>
      </c>
      <c r="MP116" t="s">
        <v>1027</v>
      </c>
      <c r="MQ116">
        <v>973</v>
      </c>
      <c r="MR116">
        <v>90</v>
      </c>
    </row>
    <row r="117" spans="1:356">
      <c r="A117" t="s">
        <v>237</v>
      </c>
      <c r="B117" t="s">
        <v>238</v>
      </c>
      <c r="C117">
        <v>434143</v>
      </c>
      <c r="D117">
        <v>553374</v>
      </c>
      <c r="E117">
        <v>604147</v>
      </c>
      <c r="F117">
        <f t="shared" si="6"/>
        <v>50773</v>
      </c>
      <c r="G117" s="26">
        <f t="shared" si="7"/>
        <v>9.1751690538406194</v>
      </c>
      <c r="H117">
        <v>287524</v>
      </c>
      <c r="I117">
        <v>316623</v>
      </c>
      <c r="J117">
        <v>594496</v>
      </c>
      <c r="K117">
        <v>9651</v>
      </c>
      <c r="L117">
        <v>24727</v>
      </c>
      <c r="M117">
        <v>25113</v>
      </c>
      <c r="N117">
        <v>24461</v>
      </c>
      <c r="O117">
        <v>25441</v>
      </c>
      <c r="P117">
        <v>26428</v>
      </c>
      <c r="Q117">
        <v>23621</v>
      </c>
      <c r="R117">
        <v>21560</v>
      </c>
      <c r="S117">
        <v>20953</v>
      </c>
      <c r="T117">
        <v>19549</v>
      </c>
      <c r="U117">
        <v>17252</v>
      </c>
      <c r="V117">
        <v>15737</v>
      </c>
      <c r="W117">
        <v>12428</v>
      </c>
      <c r="X117">
        <v>10394</v>
      </c>
      <c r="Y117">
        <v>18771</v>
      </c>
      <c r="Z117">
        <v>1089</v>
      </c>
      <c r="AA117">
        <v>23925</v>
      </c>
      <c r="AB117">
        <v>24057</v>
      </c>
      <c r="AC117">
        <v>23670</v>
      </c>
      <c r="AD117">
        <v>25474</v>
      </c>
      <c r="AE117">
        <v>27251</v>
      </c>
      <c r="AF117">
        <v>26165</v>
      </c>
      <c r="AG117">
        <v>24991</v>
      </c>
      <c r="AH117">
        <v>24879</v>
      </c>
      <c r="AI117">
        <v>23578</v>
      </c>
      <c r="AJ117">
        <v>21042</v>
      </c>
      <c r="AK117">
        <v>19472</v>
      </c>
      <c r="AL117">
        <v>14920</v>
      </c>
      <c r="AM117">
        <v>12354</v>
      </c>
      <c r="AN117">
        <v>23752</v>
      </c>
      <c r="AO117">
        <v>1093</v>
      </c>
      <c r="AP117">
        <v>560600</v>
      </c>
      <c r="AQ117">
        <v>38884</v>
      </c>
      <c r="AR117">
        <v>347</v>
      </c>
      <c r="AS117">
        <v>1932</v>
      </c>
      <c r="AT117">
        <v>2384</v>
      </c>
      <c r="AU117">
        <v>12976</v>
      </c>
      <c r="AV117">
        <v>5819</v>
      </c>
      <c r="AW117">
        <v>7157</v>
      </c>
      <c r="AX117">
        <v>9298</v>
      </c>
      <c r="AY117">
        <v>11252</v>
      </c>
      <c r="AZ117">
        <v>447</v>
      </c>
      <c r="BA117">
        <v>10805</v>
      </c>
      <c r="BB117">
        <v>100</v>
      </c>
      <c r="BC117">
        <v>101</v>
      </c>
      <c r="BD117">
        <v>211</v>
      </c>
      <c r="BE117">
        <v>235</v>
      </c>
      <c r="BF117">
        <v>252</v>
      </c>
      <c r="BG117">
        <v>253</v>
      </c>
      <c r="BH117">
        <v>462</v>
      </c>
      <c r="BI117">
        <v>768</v>
      </c>
      <c r="BJ117">
        <v>696</v>
      </c>
      <c r="BK117">
        <v>1018</v>
      </c>
      <c r="BL117">
        <v>653</v>
      </c>
      <c r="BM117">
        <v>875</v>
      </c>
      <c r="BN117">
        <v>544</v>
      </c>
      <c r="BO117">
        <v>790</v>
      </c>
      <c r="BP117">
        <v>565</v>
      </c>
      <c r="BQ117">
        <v>692</v>
      </c>
      <c r="BR117">
        <v>479</v>
      </c>
      <c r="BS117">
        <v>551</v>
      </c>
      <c r="BT117">
        <v>397</v>
      </c>
      <c r="BU117">
        <v>486</v>
      </c>
      <c r="BV117">
        <v>392</v>
      </c>
      <c r="BW117">
        <v>412</v>
      </c>
      <c r="BX117">
        <v>307</v>
      </c>
      <c r="BY117">
        <v>288</v>
      </c>
      <c r="BZ117">
        <v>264</v>
      </c>
      <c r="CA117">
        <v>238</v>
      </c>
      <c r="CB117">
        <v>497</v>
      </c>
      <c r="CC117">
        <v>450</v>
      </c>
      <c r="CD117">
        <v>5732</v>
      </c>
      <c r="CE117">
        <v>6987</v>
      </c>
      <c r="CF117">
        <v>72</v>
      </c>
      <c r="CG117">
        <v>152</v>
      </c>
      <c r="CH117">
        <v>104621</v>
      </c>
      <c r="CI117">
        <v>61530</v>
      </c>
      <c r="CJ117">
        <v>392726</v>
      </c>
      <c r="CK117">
        <v>209878</v>
      </c>
      <c r="CL117">
        <v>18028</v>
      </c>
      <c r="CM117">
        <v>30437</v>
      </c>
      <c r="CN117">
        <v>35292</v>
      </c>
      <c r="CO117">
        <v>38434</v>
      </c>
      <c r="CP117">
        <v>22840</v>
      </c>
      <c r="CQ117">
        <v>21120</v>
      </c>
      <c r="CR117">
        <v>102002</v>
      </c>
      <c r="CS117">
        <v>229732</v>
      </c>
      <c r="CT117">
        <v>46410</v>
      </c>
      <c r="CU117">
        <v>14186</v>
      </c>
      <c r="CV117">
        <v>8379</v>
      </c>
      <c r="CW117">
        <v>28078</v>
      </c>
      <c r="CX117">
        <v>6085</v>
      </c>
      <c r="CY117">
        <v>97465</v>
      </c>
      <c r="CZ117">
        <v>45680</v>
      </c>
      <c r="DA117">
        <v>3126</v>
      </c>
      <c r="DB117">
        <v>18028</v>
      </c>
      <c r="DC117">
        <v>1315</v>
      </c>
      <c r="DD117">
        <v>1659</v>
      </c>
      <c r="DE117">
        <v>1122</v>
      </c>
      <c r="DF117">
        <v>2744</v>
      </c>
      <c r="DG117">
        <v>4126</v>
      </c>
      <c r="DH117">
        <v>0</v>
      </c>
      <c r="DI117">
        <v>15666</v>
      </c>
      <c r="DJ117">
        <v>0</v>
      </c>
      <c r="DK117">
        <v>0</v>
      </c>
      <c r="DL117">
        <v>578830</v>
      </c>
      <c r="DM117">
        <v>104</v>
      </c>
      <c r="DN117">
        <v>7</v>
      </c>
      <c r="DO117">
        <v>8</v>
      </c>
      <c r="DP117">
        <v>4</v>
      </c>
      <c r="DQ117">
        <v>0</v>
      </c>
      <c r="DR117">
        <v>2</v>
      </c>
      <c r="DS117">
        <v>0</v>
      </c>
      <c r="DT117">
        <v>0</v>
      </c>
      <c r="DU117">
        <v>1</v>
      </c>
      <c r="DV117">
        <v>11279</v>
      </c>
      <c r="DW117">
        <v>17383</v>
      </c>
      <c r="DX117">
        <v>20040</v>
      </c>
      <c r="DY117">
        <v>25772</v>
      </c>
      <c r="DZ117">
        <v>7396</v>
      </c>
      <c r="EA117">
        <v>7261</v>
      </c>
      <c r="EB117">
        <v>3838</v>
      </c>
      <c r="EC117">
        <v>3308</v>
      </c>
      <c r="ED117">
        <v>3132</v>
      </c>
      <c r="EE117">
        <v>4050</v>
      </c>
      <c r="EF117">
        <v>5514</v>
      </c>
      <c r="EG117">
        <v>7241</v>
      </c>
      <c r="EH117">
        <v>3244</v>
      </c>
      <c r="EI117">
        <v>3059</v>
      </c>
      <c r="EJ117">
        <v>19347</v>
      </c>
      <c r="EK117">
        <v>29727</v>
      </c>
      <c r="EL117">
        <v>9626</v>
      </c>
      <c r="EM117">
        <v>4241</v>
      </c>
      <c r="EN117">
        <v>4721</v>
      </c>
      <c r="EO117">
        <v>8368</v>
      </c>
      <c r="EP117">
        <v>3780</v>
      </c>
      <c r="EQ117">
        <v>169673</v>
      </c>
      <c r="ER117">
        <v>164803</v>
      </c>
      <c r="ES117">
        <v>4870</v>
      </c>
      <c r="ET117">
        <v>56329</v>
      </c>
      <c r="EU117">
        <v>138923</v>
      </c>
      <c r="EV117">
        <v>136276</v>
      </c>
      <c r="EW117">
        <v>2647</v>
      </c>
      <c r="EX117">
        <v>118521</v>
      </c>
      <c r="EY117" s="26">
        <v>1.093127</v>
      </c>
      <c r="EZ117" s="26">
        <v>14.767358999999999</v>
      </c>
      <c r="FA117" s="26">
        <v>22.50123</v>
      </c>
      <c r="FB117" s="26">
        <v>58.749307000000002</v>
      </c>
      <c r="FC117" s="26">
        <v>2.8889770000000001</v>
      </c>
      <c r="FD117">
        <v>10143</v>
      </c>
      <c r="FE117">
        <v>46873</v>
      </c>
      <c r="FF117">
        <v>6516</v>
      </c>
      <c r="FG117">
        <v>52758</v>
      </c>
      <c r="FH117">
        <v>649</v>
      </c>
      <c r="FI117">
        <v>66173</v>
      </c>
      <c r="FJ117">
        <v>125279</v>
      </c>
      <c r="FK117" s="26" t="s">
        <v>359</v>
      </c>
      <c r="FL117" s="26" t="s">
        <v>359</v>
      </c>
      <c r="FM117" s="26" t="s">
        <v>359</v>
      </c>
      <c r="FN117" s="26" t="s">
        <v>359</v>
      </c>
      <c r="FO117" s="28">
        <v>164359</v>
      </c>
      <c r="FP117" s="28">
        <v>121990</v>
      </c>
      <c r="FQ117">
        <v>88873</v>
      </c>
      <c r="FR117">
        <v>24397</v>
      </c>
      <c r="FS117">
        <v>6214</v>
      </c>
      <c r="FT117">
        <v>3038</v>
      </c>
      <c r="FU117">
        <v>32803</v>
      </c>
      <c r="FV117">
        <v>7011</v>
      </c>
      <c r="FW117">
        <v>3297</v>
      </c>
      <c r="FX117">
        <v>1175</v>
      </c>
      <c r="FY117">
        <v>191274</v>
      </c>
      <c r="FZ117">
        <v>124158</v>
      </c>
      <c r="GA117">
        <v>96904</v>
      </c>
      <c r="GB117">
        <v>31703</v>
      </c>
      <c r="GC117">
        <v>8905</v>
      </c>
      <c r="GD117">
        <v>3212</v>
      </c>
      <c r="GE117">
        <v>41243</v>
      </c>
      <c r="GF117">
        <v>6982</v>
      </c>
      <c r="GG117">
        <v>3877</v>
      </c>
      <c r="GH117">
        <v>1191</v>
      </c>
      <c r="GI117">
        <v>14180</v>
      </c>
      <c r="GJ117">
        <v>14646</v>
      </c>
      <c r="GK117">
        <v>14027</v>
      </c>
      <c r="GL117">
        <v>15585</v>
      </c>
      <c r="GM117">
        <v>13639</v>
      </c>
      <c r="GN117">
        <v>11798</v>
      </c>
      <c r="GO117">
        <v>11546</v>
      </c>
      <c r="GP117">
        <v>11515</v>
      </c>
      <c r="GQ117">
        <v>10826</v>
      </c>
      <c r="GR117">
        <v>9635</v>
      </c>
      <c r="GS117">
        <v>9026</v>
      </c>
      <c r="GT117">
        <v>7637</v>
      </c>
      <c r="GU117">
        <v>6872</v>
      </c>
      <c r="GV117">
        <v>5167</v>
      </c>
      <c r="GW117">
        <v>3511</v>
      </c>
      <c r="GX117">
        <v>2297</v>
      </c>
      <c r="GY117">
        <v>1409</v>
      </c>
      <c r="GZ117">
        <v>1043</v>
      </c>
      <c r="HA117">
        <v>13624</v>
      </c>
      <c r="HB117">
        <v>14068</v>
      </c>
      <c r="HC117">
        <v>13548</v>
      </c>
      <c r="HD117">
        <v>15512</v>
      </c>
      <c r="HE117">
        <v>14729</v>
      </c>
      <c r="HF117">
        <v>14227</v>
      </c>
      <c r="HG117">
        <v>14651</v>
      </c>
      <c r="HH117">
        <v>15024</v>
      </c>
      <c r="HI117">
        <v>14308</v>
      </c>
      <c r="HJ117">
        <v>12924</v>
      </c>
      <c r="HK117">
        <v>12500</v>
      </c>
      <c r="HL117">
        <v>10206</v>
      </c>
      <c r="HM117">
        <v>8863</v>
      </c>
      <c r="HN117">
        <v>6378</v>
      </c>
      <c r="HO117">
        <v>4404</v>
      </c>
      <c r="HP117">
        <v>2848</v>
      </c>
      <c r="HQ117">
        <v>1860</v>
      </c>
      <c r="HR117">
        <v>1600</v>
      </c>
      <c r="HS117">
        <v>132867</v>
      </c>
      <c r="HT117">
        <v>5464</v>
      </c>
      <c r="HU117">
        <v>3480</v>
      </c>
      <c r="HV117">
        <v>4</v>
      </c>
      <c r="HW117">
        <v>272</v>
      </c>
      <c r="HX117">
        <v>1</v>
      </c>
      <c r="HY117">
        <v>32</v>
      </c>
      <c r="HZ117">
        <v>207</v>
      </c>
      <c r="IA117">
        <v>17944</v>
      </c>
      <c r="IB117">
        <v>30381</v>
      </c>
      <c r="IC117">
        <v>35239</v>
      </c>
      <c r="ID117">
        <v>38381</v>
      </c>
      <c r="IE117">
        <v>22815</v>
      </c>
      <c r="IF117">
        <v>10557</v>
      </c>
      <c r="IG117">
        <v>5013</v>
      </c>
      <c r="IH117">
        <v>2497</v>
      </c>
      <c r="II117">
        <v>3019</v>
      </c>
      <c r="IJ117">
        <v>17105</v>
      </c>
      <c r="IK117">
        <v>26889</v>
      </c>
      <c r="IL117">
        <v>45333</v>
      </c>
      <c r="IM117">
        <v>35874</v>
      </c>
      <c r="IN117">
        <v>22475</v>
      </c>
      <c r="IO117">
        <v>10388</v>
      </c>
      <c r="IP117">
        <v>3963</v>
      </c>
      <c r="IQ117">
        <v>1876</v>
      </c>
      <c r="IR117">
        <v>1322</v>
      </c>
      <c r="IS117">
        <v>51631</v>
      </c>
      <c r="IT117">
        <v>68871</v>
      </c>
      <c r="IU117">
        <v>33924</v>
      </c>
      <c r="IV117">
        <v>8499</v>
      </c>
      <c r="IW117">
        <v>2300</v>
      </c>
      <c r="IX117">
        <v>127365</v>
      </c>
      <c r="IY117">
        <v>10131</v>
      </c>
      <c r="IZ117">
        <v>36</v>
      </c>
      <c r="JA117">
        <v>280</v>
      </c>
      <c r="JB117">
        <v>7509</v>
      </c>
      <c r="JC117">
        <v>174</v>
      </c>
      <c r="JD117">
        <v>164813</v>
      </c>
      <c r="JE117">
        <v>413</v>
      </c>
      <c r="JF117">
        <v>620</v>
      </c>
      <c r="JH117" s="28">
        <v>140746.77342792772</v>
      </c>
      <c r="JI117" s="28">
        <v>671.92946531387986</v>
      </c>
      <c r="JJ117">
        <v>3750</v>
      </c>
      <c r="JK117">
        <v>95074</v>
      </c>
      <c r="JL117">
        <v>66396</v>
      </c>
      <c r="JM117">
        <v>626</v>
      </c>
      <c r="JN117">
        <v>153644</v>
      </c>
      <c r="JO117">
        <v>120942</v>
      </c>
      <c r="JP117">
        <v>67671</v>
      </c>
      <c r="JQ117">
        <v>108923</v>
      </c>
      <c r="JR117">
        <v>154915</v>
      </c>
      <c r="JS117">
        <v>73874</v>
      </c>
      <c r="JT117">
        <v>53122</v>
      </c>
      <c r="JU117">
        <v>155599</v>
      </c>
      <c r="JV117">
        <v>97527</v>
      </c>
      <c r="JW117" s="28"/>
      <c r="JX117" s="28"/>
      <c r="JY117" s="28"/>
      <c r="JZ117" s="28"/>
      <c r="KA117" s="28">
        <v>165427.00003175999</v>
      </c>
      <c r="KB117">
        <v>497604</v>
      </c>
      <c r="KC117">
        <v>14631</v>
      </c>
      <c r="KD117">
        <v>9726</v>
      </c>
      <c r="KE117">
        <v>12</v>
      </c>
      <c r="KF117">
        <v>827</v>
      </c>
      <c r="KG117">
        <v>1</v>
      </c>
      <c r="KH117">
        <v>96</v>
      </c>
      <c r="KI117">
        <v>680</v>
      </c>
      <c r="KJ117">
        <v>14518</v>
      </c>
      <c r="KK117">
        <v>360677</v>
      </c>
      <c r="KL117">
        <v>224304</v>
      </c>
      <c r="KM117">
        <v>2181</v>
      </c>
      <c r="KT117">
        <v>86115</v>
      </c>
      <c r="KU117">
        <v>84249</v>
      </c>
      <c r="KV117">
        <v>56394</v>
      </c>
      <c r="KW117">
        <v>14190</v>
      </c>
      <c r="KX117">
        <v>13442</v>
      </c>
      <c r="KZ117">
        <v>54834</v>
      </c>
      <c r="LA117">
        <v>13987</v>
      </c>
      <c r="LB117">
        <v>13396</v>
      </c>
      <c r="LD117">
        <v>39543</v>
      </c>
      <c r="LE117">
        <v>38460</v>
      </c>
      <c r="LF117">
        <v>5572</v>
      </c>
      <c r="LG117">
        <v>11597</v>
      </c>
      <c r="LH117">
        <v>456012</v>
      </c>
      <c r="LI117">
        <v>280</v>
      </c>
      <c r="LJ117">
        <v>19302</v>
      </c>
      <c r="LK117">
        <v>5291</v>
      </c>
      <c r="LL117">
        <v>34846</v>
      </c>
      <c r="LM117">
        <v>305</v>
      </c>
      <c r="LN117">
        <v>38932</v>
      </c>
      <c r="LO117">
        <v>52033</v>
      </c>
      <c r="LP117">
        <v>419</v>
      </c>
      <c r="LQ117">
        <v>27431</v>
      </c>
      <c r="LR117">
        <v>5004</v>
      </c>
      <c r="LS117">
        <v>43803</v>
      </c>
      <c r="LT117">
        <v>1005</v>
      </c>
      <c r="LU117">
        <v>40555</v>
      </c>
      <c r="LV117">
        <v>53248</v>
      </c>
      <c r="LW117" s="44"/>
      <c r="LX117" s="44"/>
      <c r="LY117" s="44"/>
      <c r="LZ117">
        <v>165846</v>
      </c>
      <c r="MA117">
        <v>601680</v>
      </c>
      <c r="MB117">
        <v>598710</v>
      </c>
      <c r="MC117">
        <v>17140</v>
      </c>
      <c r="MD117" s="26">
        <v>3.7650319999999997</v>
      </c>
      <c r="ME117" s="26">
        <v>5.7635259999999997</v>
      </c>
      <c r="MF117" s="26">
        <v>23.334474</v>
      </c>
      <c r="MG117" s="26">
        <v>40.743063999999997</v>
      </c>
      <c r="MH117" s="26">
        <v>2.2611339999999998</v>
      </c>
      <c r="MI117" s="26">
        <v>0.74647599999999992</v>
      </c>
      <c r="MJ117" s="26">
        <v>5.2814059999999996</v>
      </c>
      <c r="MK117" s="26">
        <v>0.249026</v>
      </c>
      <c r="ML117" s="26">
        <v>0.25264399999999998</v>
      </c>
      <c r="MM117" s="26">
        <v>27.075720999999998</v>
      </c>
      <c r="MN117" s="26">
        <v>7.3574279999999996</v>
      </c>
      <c r="MO117" s="26">
        <v>-1.0714360000000001</v>
      </c>
      <c r="MP117" t="s">
        <v>1031</v>
      </c>
      <c r="MQ117">
        <v>2259</v>
      </c>
      <c r="MR117">
        <v>124</v>
      </c>
    </row>
    <row r="118" spans="1:356">
      <c r="A118" t="s">
        <v>241</v>
      </c>
      <c r="B118" t="s">
        <v>242</v>
      </c>
      <c r="C118">
        <v>23180</v>
      </c>
      <c r="D118">
        <v>28137</v>
      </c>
      <c r="E118">
        <v>30302</v>
      </c>
      <c r="F118">
        <f t="shared" si="6"/>
        <v>2165</v>
      </c>
      <c r="G118" s="26">
        <f t="shared" si="7"/>
        <v>7.6944947933326233</v>
      </c>
      <c r="H118">
        <v>14900</v>
      </c>
      <c r="I118">
        <v>15402</v>
      </c>
      <c r="J118">
        <v>6106</v>
      </c>
      <c r="K118">
        <v>24196</v>
      </c>
      <c r="L118">
        <v>1490</v>
      </c>
      <c r="M118">
        <v>1736</v>
      </c>
      <c r="N118">
        <v>1654</v>
      </c>
      <c r="O118">
        <v>1390</v>
      </c>
      <c r="P118">
        <v>1089</v>
      </c>
      <c r="Q118">
        <v>1024</v>
      </c>
      <c r="R118">
        <v>998</v>
      </c>
      <c r="S118">
        <v>878</v>
      </c>
      <c r="T118">
        <v>851</v>
      </c>
      <c r="U118">
        <v>779</v>
      </c>
      <c r="V118">
        <v>696</v>
      </c>
      <c r="W118">
        <v>582</v>
      </c>
      <c r="X118">
        <v>471</v>
      </c>
      <c r="Y118">
        <v>1262</v>
      </c>
      <c r="Z118">
        <v>0</v>
      </c>
      <c r="AA118">
        <v>1423</v>
      </c>
      <c r="AB118">
        <v>1625</v>
      </c>
      <c r="AC118">
        <v>1549</v>
      </c>
      <c r="AD118">
        <v>1394</v>
      </c>
      <c r="AE118">
        <v>1136</v>
      </c>
      <c r="AF118">
        <v>1237</v>
      </c>
      <c r="AG118">
        <v>1159</v>
      </c>
      <c r="AH118">
        <v>1129</v>
      </c>
      <c r="AI118">
        <v>929</v>
      </c>
      <c r="AJ118">
        <v>791</v>
      </c>
      <c r="AK118">
        <v>773</v>
      </c>
      <c r="AL118">
        <v>595</v>
      </c>
      <c r="AM118">
        <v>540</v>
      </c>
      <c r="AN118">
        <v>1122</v>
      </c>
      <c r="AO118">
        <v>0</v>
      </c>
      <c r="AP118">
        <v>29259</v>
      </c>
      <c r="AQ118">
        <v>670</v>
      </c>
      <c r="AR118">
        <v>67</v>
      </c>
      <c r="AS118">
        <v>288</v>
      </c>
      <c r="AT118">
        <v>18</v>
      </c>
      <c r="AU118">
        <v>142</v>
      </c>
      <c r="AV118">
        <v>101</v>
      </c>
      <c r="AW118">
        <v>41</v>
      </c>
      <c r="AX118">
        <v>182</v>
      </c>
      <c r="AY118">
        <v>127</v>
      </c>
      <c r="AZ118">
        <v>110</v>
      </c>
      <c r="BA118">
        <v>17</v>
      </c>
      <c r="BB118">
        <v>1</v>
      </c>
      <c r="BC118">
        <v>0</v>
      </c>
      <c r="BD118">
        <v>0</v>
      </c>
      <c r="BE118">
        <v>0</v>
      </c>
      <c r="BF118">
        <v>0</v>
      </c>
      <c r="BG118">
        <v>0</v>
      </c>
      <c r="BH118">
        <v>4</v>
      </c>
      <c r="BI118">
        <v>1</v>
      </c>
      <c r="BJ118">
        <v>1</v>
      </c>
      <c r="BK118">
        <v>3</v>
      </c>
      <c r="BL118">
        <v>1</v>
      </c>
      <c r="BM118">
        <v>4</v>
      </c>
      <c r="BN118">
        <v>1</v>
      </c>
      <c r="BO118">
        <v>4</v>
      </c>
      <c r="BP118">
        <v>5</v>
      </c>
      <c r="BQ118">
        <v>2</v>
      </c>
      <c r="BR118">
        <v>6</v>
      </c>
      <c r="BS118">
        <v>3</v>
      </c>
      <c r="BT118">
        <v>6</v>
      </c>
      <c r="BU118">
        <v>4</v>
      </c>
      <c r="BV118">
        <v>3</v>
      </c>
      <c r="BW118">
        <v>0</v>
      </c>
      <c r="BX118">
        <v>4</v>
      </c>
      <c r="BY118">
        <v>4</v>
      </c>
      <c r="BZ118">
        <v>5</v>
      </c>
      <c r="CA118">
        <v>1</v>
      </c>
      <c r="CB118">
        <v>64</v>
      </c>
      <c r="CC118">
        <v>15</v>
      </c>
      <c r="CD118">
        <v>97</v>
      </c>
      <c r="CE118">
        <v>41</v>
      </c>
      <c r="CF118">
        <v>4</v>
      </c>
      <c r="CG118">
        <v>0</v>
      </c>
      <c r="CH118">
        <v>5389</v>
      </c>
      <c r="CI118">
        <v>2320</v>
      </c>
      <c r="CJ118">
        <v>21951</v>
      </c>
      <c r="CK118">
        <v>8335</v>
      </c>
      <c r="CL118">
        <v>799</v>
      </c>
      <c r="CM118">
        <v>1185</v>
      </c>
      <c r="CN118">
        <v>1468</v>
      </c>
      <c r="CO118">
        <v>1689</v>
      </c>
      <c r="CP118">
        <v>1124</v>
      </c>
      <c r="CQ118">
        <v>1444</v>
      </c>
      <c r="CR118">
        <v>5066</v>
      </c>
      <c r="CS118">
        <v>12320</v>
      </c>
      <c r="CT118">
        <v>2992</v>
      </c>
      <c r="CU118">
        <v>825</v>
      </c>
      <c r="CV118">
        <v>338</v>
      </c>
      <c r="CW118">
        <v>962</v>
      </c>
      <c r="CX118">
        <v>74</v>
      </c>
      <c r="CY118">
        <v>4538</v>
      </c>
      <c r="CZ118">
        <v>2318</v>
      </c>
      <c r="DA118">
        <v>45</v>
      </c>
      <c r="DB118">
        <v>799</v>
      </c>
      <c r="DC118">
        <v>9</v>
      </c>
      <c r="DD118">
        <v>1454</v>
      </c>
      <c r="DE118">
        <v>3164</v>
      </c>
      <c r="DF118">
        <v>3050</v>
      </c>
      <c r="DG118">
        <v>16528</v>
      </c>
      <c r="DH118">
        <v>6106</v>
      </c>
      <c r="DI118">
        <v>0</v>
      </c>
      <c r="DJ118">
        <v>0</v>
      </c>
      <c r="DK118">
        <v>0</v>
      </c>
      <c r="DL118">
        <v>0</v>
      </c>
      <c r="DM118">
        <v>66</v>
      </c>
      <c r="DN118">
        <v>19</v>
      </c>
      <c r="DO118">
        <v>9</v>
      </c>
      <c r="DP118">
        <v>19</v>
      </c>
      <c r="DQ118">
        <v>2</v>
      </c>
      <c r="DR118">
        <v>0</v>
      </c>
      <c r="DS118">
        <v>0</v>
      </c>
      <c r="DT118">
        <v>0</v>
      </c>
      <c r="DU118">
        <v>0</v>
      </c>
      <c r="DV118">
        <v>850</v>
      </c>
      <c r="DW118">
        <v>835</v>
      </c>
      <c r="DX118">
        <v>1248</v>
      </c>
      <c r="DY118">
        <v>1313</v>
      </c>
      <c r="DZ118">
        <v>548</v>
      </c>
      <c r="EA118">
        <v>473</v>
      </c>
      <c r="EB118">
        <v>297</v>
      </c>
      <c r="EC118">
        <v>248</v>
      </c>
      <c r="ED118">
        <v>226</v>
      </c>
      <c r="EE118">
        <v>246</v>
      </c>
      <c r="EF118">
        <v>304</v>
      </c>
      <c r="EG118">
        <v>369</v>
      </c>
      <c r="EH118">
        <v>184</v>
      </c>
      <c r="EI118">
        <v>173</v>
      </c>
      <c r="EJ118">
        <v>931</v>
      </c>
      <c r="EK118">
        <v>1418</v>
      </c>
      <c r="EL118">
        <v>582</v>
      </c>
      <c r="EM118">
        <v>296</v>
      </c>
      <c r="EN118">
        <v>259</v>
      </c>
      <c r="EO118">
        <v>357</v>
      </c>
      <c r="EP118">
        <v>200</v>
      </c>
      <c r="EQ118">
        <v>8674</v>
      </c>
      <c r="ER118">
        <v>8564</v>
      </c>
      <c r="ES118">
        <v>110</v>
      </c>
      <c r="ET118">
        <v>2263</v>
      </c>
      <c r="EU118">
        <v>4979</v>
      </c>
      <c r="EV118">
        <v>4923</v>
      </c>
      <c r="EW118">
        <v>56</v>
      </c>
      <c r="EX118">
        <v>6714</v>
      </c>
      <c r="EY118" s="26">
        <v>31.618224999999999</v>
      </c>
      <c r="EZ118" s="26">
        <v>18.244304999999997</v>
      </c>
      <c r="FA118" s="26">
        <v>20.178712000000001</v>
      </c>
      <c r="FB118" s="26">
        <v>28.760801000000001</v>
      </c>
      <c r="FC118" s="26">
        <v>1.1979580000000001</v>
      </c>
      <c r="FD118">
        <v>1357</v>
      </c>
      <c r="FE118">
        <v>4402</v>
      </c>
      <c r="FF118">
        <v>486</v>
      </c>
      <c r="FG118">
        <v>3301</v>
      </c>
      <c r="FH118">
        <v>16</v>
      </c>
      <c r="FI118">
        <v>2947</v>
      </c>
      <c r="FJ118">
        <v>1128</v>
      </c>
      <c r="FK118" s="26" t="s">
        <v>359</v>
      </c>
      <c r="FL118" s="26" t="s">
        <v>359</v>
      </c>
      <c r="FM118" s="26" t="s">
        <v>359</v>
      </c>
      <c r="FN118" s="26" t="s">
        <v>359</v>
      </c>
      <c r="FO118" s="28">
        <v>7514</v>
      </c>
      <c r="FP118" s="28">
        <v>7381</v>
      </c>
      <c r="FQ118">
        <v>1894</v>
      </c>
      <c r="FR118">
        <v>306</v>
      </c>
      <c r="FS118">
        <v>72</v>
      </c>
      <c r="FT118">
        <v>69</v>
      </c>
      <c r="FU118">
        <v>5100</v>
      </c>
      <c r="FV118">
        <v>21</v>
      </c>
      <c r="FW118">
        <v>30</v>
      </c>
      <c r="FX118">
        <v>5</v>
      </c>
      <c r="FY118">
        <v>8274</v>
      </c>
      <c r="FZ118">
        <v>7125</v>
      </c>
      <c r="GA118">
        <v>2089</v>
      </c>
      <c r="GB118">
        <v>357</v>
      </c>
      <c r="GC118">
        <v>73</v>
      </c>
      <c r="GD118">
        <v>79</v>
      </c>
      <c r="GE118">
        <v>5605</v>
      </c>
      <c r="GF118">
        <v>25</v>
      </c>
      <c r="GG118">
        <v>44</v>
      </c>
      <c r="GH118">
        <v>3</v>
      </c>
      <c r="GI118">
        <v>688</v>
      </c>
      <c r="GJ118">
        <v>912</v>
      </c>
      <c r="GK118">
        <v>865</v>
      </c>
      <c r="GL118">
        <v>779</v>
      </c>
      <c r="GM118">
        <v>493</v>
      </c>
      <c r="GN118">
        <v>465</v>
      </c>
      <c r="GO118">
        <v>490</v>
      </c>
      <c r="GP118">
        <v>413</v>
      </c>
      <c r="GQ118">
        <v>425</v>
      </c>
      <c r="GR118">
        <v>397</v>
      </c>
      <c r="GS118">
        <v>344</v>
      </c>
      <c r="GT118">
        <v>302</v>
      </c>
      <c r="GU118">
        <v>278</v>
      </c>
      <c r="GV118">
        <v>219</v>
      </c>
      <c r="GW118">
        <v>172</v>
      </c>
      <c r="GX118">
        <v>118</v>
      </c>
      <c r="GY118">
        <v>78</v>
      </c>
      <c r="GZ118">
        <v>76</v>
      </c>
      <c r="HA118">
        <v>646</v>
      </c>
      <c r="HB118">
        <v>860</v>
      </c>
      <c r="HC118">
        <v>782</v>
      </c>
      <c r="HD118">
        <v>771</v>
      </c>
      <c r="HE118">
        <v>580</v>
      </c>
      <c r="HF118">
        <v>687</v>
      </c>
      <c r="HG118">
        <v>636</v>
      </c>
      <c r="HH118">
        <v>640</v>
      </c>
      <c r="HI118">
        <v>519</v>
      </c>
      <c r="HJ118">
        <v>433</v>
      </c>
      <c r="HK118">
        <v>438</v>
      </c>
      <c r="HL118">
        <v>358</v>
      </c>
      <c r="HM118">
        <v>310</v>
      </c>
      <c r="HN118">
        <v>232</v>
      </c>
      <c r="HO118">
        <v>149</v>
      </c>
      <c r="HP118">
        <v>94</v>
      </c>
      <c r="HQ118">
        <v>71</v>
      </c>
      <c r="HR118">
        <v>68</v>
      </c>
      <c r="HS118">
        <v>6466</v>
      </c>
      <c r="HT118">
        <v>0</v>
      </c>
      <c r="HU118">
        <v>4</v>
      </c>
      <c r="HV118">
        <v>0</v>
      </c>
      <c r="HW118">
        <v>17</v>
      </c>
      <c r="HX118">
        <v>0</v>
      </c>
      <c r="HY118">
        <v>9</v>
      </c>
      <c r="HZ118">
        <v>1</v>
      </c>
      <c r="IA118">
        <v>792</v>
      </c>
      <c r="IB118">
        <v>1181</v>
      </c>
      <c r="IC118">
        <v>1464</v>
      </c>
      <c r="ID118">
        <v>1685</v>
      </c>
      <c r="IE118">
        <v>1122</v>
      </c>
      <c r="IF118">
        <v>703</v>
      </c>
      <c r="IG118">
        <v>345</v>
      </c>
      <c r="IH118">
        <v>162</v>
      </c>
      <c r="II118">
        <v>229</v>
      </c>
      <c r="IJ118">
        <v>1510</v>
      </c>
      <c r="IK118">
        <v>1831</v>
      </c>
      <c r="IL118">
        <v>2220</v>
      </c>
      <c r="IM118">
        <v>1320</v>
      </c>
      <c r="IN118">
        <v>533</v>
      </c>
      <c r="IO118">
        <v>194</v>
      </c>
      <c r="IP118">
        <v>49</v>
      </c>
      <c r="IQ118">
        <v>17</v>
      </c>
      <c r="IR118">
        <v>8</v>
      </c>
      <c r="IS118">
        <v>3477</v>
      </c>
      <c r="IT118">
        <v>2948</v>
      </c>
      <c r="IU118">
        <v>1021</v>
      </c>
      <c r="IV118">
        <v>200</v>
      </c>
      <c r="IW118">
        <v>37</v>
      </c>
      <c r="IX118">
        <v>4209</v>
      </c>
      <c r="IY118">
        <v>1035</v>
      </c>
      <c r="IZ118">
        <v>6</v>
      </c>
      <c r="JA118">
        <v>172</v>
      </c>
      <c r="JB118">
        <v>1</v>
      </c>
      <c r="JC118">
        <v>380</v>
      </c>
      <c r="JD118">
        <v>7336</v>
      </c>
      <c r="JE118">
        <v>347</v>
      </c>
      <c r="JF118">
        <v>0</v>
      </c>
      <c r="JH118" s="28">
        <v>5856.5750257576046</v>
      </c>
      <c r="JI118" s="28">
        <v>602.85225769206329</v>
      </c>
      <c r="JJ118">
        <v>645</v>
      </c>
      <c r="JK118">
        <v>6700</v>
      </c>
      <c r="JL118">
        <v>338</v>
      </c>
      <c r="JM118">
        <v>0</v>
      </c>
      <c r="JN118">
        <v>5610</v>
      </c>
      <c r="JO118">
        <v>2960</v>
      </c>
      <c r="JP118">
        <v>977</v>
      </c>
      <c r="JQ118">
        <v>5356</v>
      </c>
      <c r="JR118">
        <v>6386</v>
      </c>
      <c r="JS118">
        <v>535</v>
      </c>
      <c r="JT118">
        <v>323</v>
      </c>
      <c r="JU118">
        <v>5538</v>
      </c>
      <c r="JV118">
        <v>776</v>
      </c>
      <c r="JW118" s="28"/>
      <c r="JX118" s="28"/>
      <c r="JY118" s="28"/>
      <c r="JZ118" s="28"/>
      <c r="KA118" s="28">
        <v>7621.9999763699998</v>
      </c>
      <c r="KB118">
        <v>25701</v>
      </c>
      <c r="KC118">
        <v>0</v>
      </c>
      <c r="KD118">
        <v>16</v>
      </c>
      <c r="KE118">
        <v>0</v>
      </c>
      <c r="KF118">
        <v>55</v>
      </c>
      <c r="KG118">
        <v>0</v>
      </c>
      <c r="KH118">
        <v>38</v>
      </c>
      <c r="KI118">
        <v>3</v>
      </c>
      <c r="KJ118">
        <v>2682</v>
      </c>
      <c r="KK118">
        <v>26261</v>
      </c>
      <c r="KL118">
        <v>1250</v>
      </c>
      <c r="KM118">
        <v>0</v>
      </c>
      <c r="KT118">
        <v>4277</v>
      </c>
      <c r="KU118">
        <v>4113</v>
      </c>
      <c r="KV118">
        <v>3482</v>
      </c>
      <c r="KW118">
        <v>528</v>
      </c>
      <c r="KX118">
        <v>167</v>
      </c>
      <c r="KZ118">
        <v>3339</v>
      </c>
      <c r="LA118">
        <v>537</v>
      </c>
      <c r="LB118">
        <v>150</v>
      </c>
      <c r="LD118">
        <v>2534</v>
      </c>
      <c r="LE118">
        <v>2431</v>
      </c>
      <c r="LF118">
        <v>883</v>
      </c>
      <c r="LG118">
        <v>1364</v>
      </c>
      <c r="LH118">
        <v>20825</v>
      </c>
      <c r="LI118">
        <v>27</v>
      </c>
      <c r="LJ118">
        <v>1587</v>
      </c>
      <c r="LK118">
        <v>249</v>
      </c>
      <c r="LL118">
        <v>2355</v>
      </c>
      <c r="LM118">
        <v>9</v>
      </c>
      <c r="LN118">
        <v>1732</v>
      </c>
      <c r="LO118">
        <v>412</v>
      </c>
      <c r="LP118">
        <v>45</v>
      </c>
      <c r="LQ118">
        <v>1636</v>
      </c>
      <c r="LR118">
        <v>260</v>
      </c>
      <c r="LS118">
        <v>2757</v>
      </c>
      <c r="LT118">
        <v>16</v>
      </c>
      <c r="LU118">
        <v>1790</v>
      </c>
      <c r="LV118">
        <v>354</v>
      </c>
      <c r="LW118" s="44"/>
      <c r="LX118" s="44"/>
      <c r="LY118" s="44"/>
      <c r="LZ118">
        <v>7683</v>
      </c>
      <c r="MA118">
        <v>30193</v>
      </c>
      <c r="MB118">
        <v>31755</v>
      </c>
      <c r="MC118">
        <v>193</v>
      </c>
      <c r="MD118" s="26">
        <v>10.789916</v>
      </c>
      <c r="ME118" s="26">
        <v>8.8742389999999993</v>
      </c>
      <c r="MF118" s="26">
        <v>45.743096999999999</v>
      </c>
      <c r="MG118" s="26">
        <v>47.871427999999995</v>
      </c>
      <c r="MH118" s="26">
        <v>8.3951580000000003</v>
      </c>
      <c r="MI118" s="26">
        <v>4.0609139999999995</v>
      </c>
      <c r="MJ118" s="26">
        <v>9.1891189999999998</v>
      </c>
      <c r="MK118" s="26">
        <v>4.5164650000000002</v>
      </c>
      <c r="ML118" s="26">
        <v>0.79396099999999992</v>
      </c>
      <c r="MM118" s="26">
        <v>61.473382999999998</v>
      </c>
      <c r="MN118" s="26">
        <v>26.981648</v>
      </c>
      <c r="MO118" s="26">
        <v>2.5635999999999999E-2</v>
      </c>
      <c r="MP118" t="s">
        <v>1027</v>
      </c>
      <c r="MQ118">
        <v>997</v>
      </c>
      <c r="MR118">
        <v>94</v>
      </c>
    </row>
    <row r="119" spans="1:356">
      <c r="A119" t="s">
        <v>243</v>
      </c>
      <c r="B119" t="s">
        <v>244</v>
      </c>
      <c r="C119">
        <v>11925</v>
      </c>
      <c r="D119">
        <v>14009</v>
      </c>
      <c r="E119">
        <v>16560</v>
      </c>
      <c r="F119">
        <f t="shared" si="6"/>
        <v>2551</v>
      </c>
      <c r="G119" s="26">
        <f t="shared" si="7"/>
        <v>18.209722321364836</v>
      </c>
      <c r="H119">
        <v>8118</v>
      </c>
      <c r="I119">
        <v>8442</v>
      </c>
      <c r="J119">
        <v>9412</v>
      </c>
      <c r="K119">
        <v>7148</v>
      </c>
      <c r="L119">
        <v>731</v>
      </c>
      <c r="M119">
        <v>840</v>
      </c>
      <c r="N119">
        <v>755</v>
      </c>
      <c r="O119">
        <v>723</v>
      </c>
      <c r="P119">
        <v>616</v>
      </c>
      <c r="Q119">
        <v>566</v>
      </c>
      <c r="R119">
        <v>615</v>
      </c>
      <c r="S119">
        <v>639</v>
      </c>
      <c r="T119">
        <v>531</v>
      </c>
      <c r="U119">
        <v>478</v>
      </c>
      <c r="V119">
        <v>351</v>
      </c>
      <c r="W119">
        <v>299</v>
      </c>
      <c r="X119">
        <v>277</v>
      </c>
      <c r="Y119">
        <v>697</v>
      </c>
      <c r="Z119">
        <v>0</v>
      </c>
      <c r="AA119">
        <v>682</v>
      </c>
      <c r="AB119">
        <v>812</v>
      </c>
      <c r="AC119">
        <v>777</v>
      </c>
      <c r="AD119">
        <v>719</v>
      </c>
      <c r="AE119">
        <v>658</v>
      </c>
      <c r="AF119">
        <v>717</v>
      </c>
      <c r="AG119">
        <v>697</v>
      </c>
      <c r="AH119">
        <v>686</v>
      </c>
      <c r="AI119">
        <v>575</v>
      </c>
      <c r="AJ119">
        <v>472</v>
      </c>
      <c r="AK119">
        <v>393</v>
      </c>
      <c r="AL119">
        <v>328</v>
      </c>
      <c r="AM119">
        <v>241</v>
      </c>
      <c r="AN119">
        <v>685</v>
      </c>
      <c r="AO119">
        <v>0</v>
      </c>
      <c r="AP119">
        <v>16194</v>
      </c>
      <c r="AQ119">
        <v>259</v>
      </c>
      <c r="AR119">
        <v>17</v>
      </c>
      <c r="AS119">
        <v>89</v>
      </c>
      <c r="AT119">
        <v>1</v>
      </c>
      <c r="AU119">
        <v>307</v>
      </c>
      <c r="AV119">
        <v>166</v>
      </c>
      <c r="AW119">
        <v>141</v>
      </c>
      <c r="AX119">
        <v>134</v>
      </c>
      <c r="AY119">
        <v>195</v>
      </c>
      <c r="AZ119">
        <v>170</v>
      </c>
      <c r="BA119">
        <v>25</v>
      </c>
      <c r="BB119">
        <v>7</v>
      </c>
      <c r="BC119">
        <v>8</v>
      </c>
      <c r="BD119">
        <v>19</v>
      </c>
      <c r="BE119">
        <v>13</v>
      </c>
      <c r="BF119">
        <v>22</v>
      </c>
      <c r="BG119">
        <v>8</v>
      </c>
      <c r="BH119">
        <v>28</v>
      </c>
      <c r="BI119">
        <v>13</v>
      </c>
      <c r="BJ119">
        <v>8</v>
      </c>
      <c r="BK119">
        <v>19</v>
      </c>
      <c r="BL119">
        <v>11</v>
      </c>
      <c r="BM119">
        <v>12</v>
      </c>
      <c r="BN119">
        <v>9</v>
      </c>
      <c r="BO119">
        <v>11</v>
      </c>
      <c r="BP119">
        <v>8</v>
      </c>
      <c r="BQ119">
        <v>13</v>
      </c>
      <c r="BR119">
        <v>10</v>
      </c>
      <c r="BS119">
        <v>8</v>
      </c>
      <c r="BT119">
        <v>9</v>
      </c>
      <c r="BU119">
        <v>5</v>
      </c>
      <c r="BV119">
        <v>8</v>
      </c>
      <c r="BW119">
        <v>7</v>
      </c>
      <c r="BX119">
        <v>4</v>
      </c>
      <c r="BY119">
        <v>11</v>
      </c>
      <c r="BZ119">
        <v>9</v>
      </c>
      <c r="CA119">
        <v>6</v>
      </c>
      <c r="CB119">
        <v>14</v>
      </c>
      <c r="CC119">
        <v>7</v>
      </c>
      <c r="CD119">
        <v>157</v>
      </c>
      <c r="CE119">
        <v>127</v>
      </c>
      <c r="CF119">
        <v>9</v>
      </c>
      <c r="CG119">
        <v>14</v>
      </c>
      <c r="CH119">
        <v>3762</v>
      </c>
      <c r="CI119">
        <v>907</v>
      </c>
      <c r="CJ119">
        <v>13950</v>
      </c>
      <c r="CK119">
        <v>2598</v>
      </c>
      <c r="CL119">
        <v>419</v>
      </c>
      <c r="CM119">
        <v>916</v>
      </c>
      <c r="CN119">
        <v>1049</v>
      </c>
      <c r="CO119">
        <v>1105</v>
      </c>
      <c r="CP119">
        <v>705</v>
      </c>
      <c r="CQ119">
        <v>475</v>
      </c>
      <c r="CR119">
        <v>3579</v>
      </c>
      <c r="CS119">
        <v>6538</v>
      </c>
      <c r="CT119">
        <v>875</v>
      </c>
      <c r="CU119">
        <v>391</v>
      </c>
      <c r="CV119">
        <v>205</v>
      </c>
      <c r="CW119">
        <v>271</v>
      </c>
      <c r="CX119">
        <v>20</v>
      </c>
      <c r="CY119">
        <v>3298</v>
      </c>
      <c r="CZ119">
        <v>934</v>
      </c>
      <c r="DA119">
        <v>16</v>
      </c>
      <c r="DB119">
        <v>419</v>
      </c>
      <c r="DC119">
        <v>2</v>
      </c>
      <c r="DD119">
        <v>786</v>
      </c>
      <c r="DE119">
        <v>1430</v>
      </c>
      <c r="DF119">
        <v>1254</v>
      </c>
      <c r="DG119">
        <v>3678</v>
      </c>
      <c r="DH119">
        <v>2971</v>
      </c>
      <c r="DI119">
        <v>6441</v>
      </c>
      <c r="DJ119">
        <v>0</v>
      </c>
      <c r="DK119">
        <v>0</v>
      </c>
      <c r="DL119">
        <v>0</v>
      </c>
      <c r="DM119">
        <v>79</v>
      </c>
      <c r="DN119">
        <v>7</v>
      </c>
      <c r="DO119">
        <v>3</v>
      </c>
      <c r="DP119">
        <v>4</v>
      </c>
      <c r="DQ119">
        <v>1</v>
      </c>
      <c r="DR119">
        <v>1</v>
      </c>
      <c r="DS119">
        <v>0</v>
      </c>
      <c r="DT119">
        <v>0</v>
      </c>
      <c r="DU119">
        <v>0</v>
      </c>
      <c r="DV119">
        <v>517</v>
      </c>
      <c r="DW119">
        <v>594</v>
      </c>
      <c r="DX119">
        <v>770</v>
      </c>
      <c r="DY119">
        <v>885</v>
      </c>
      <c r="DZ119">
        <v>354</v>
      </c>
      <c r="EA119">
        <v>311</v>
      </c>
      <c r="EB119">
        <v>136</v>
      </c>
      <c r="EC119">
        <v>103</v>
      </c>
      <c r="ED119">
        <v>125</v>
      </c>
      <c r="EE119">
        <v>146</v>
      </c>
      <c r="EF119">
        <v>255</v>
      </c>
      <c r="EG119">
        <v>274</v>
      </c>
      <c r="EH119">
        <v>73</v>
      </c>
      <c r="EI119">
        <v>72</v>
      </c>
      <c r="EJ119">
        <v>850</v>
      </c>
      <c r="EK119">
        <v>1287</v>
      </c>
      <c r="EL119">
        <v>518</v>
      </c>
      <c r="EM119">
        <v>177</v>
      </c>
      <c r="EN119">
        <v>205</v>
      </c>
      <c r="EO119">
        <v>412</v>
      </c>
      <c r="EP119">
        <v>115</v>
      </c>
      <c r="EQ119">
        <v>5251</v>
      </c>
      <c r="ER119">
        <v>5231</v>
      </c>
      <c r="ES119">
        <v>20</v>
      </c>
      <c r="ET119">
        <v>943</v>
      </c>
      <c r="EU119">
        <v>2398</v>
      </c>
      <c r="EV119">
        <v>2392</v>
      </c>
      <c r="EW119">
        <v>6</v>
      </c>
      <c r="EX119">
        <v>4205</v>
      </c>
      <c r="EY119" s="26">
        <v>42.129769000000003</v>
      </c>
      <c r="EZ119" s="26">
        <v>16.176029</v>
      </c>
      <c r="FA119" s="26">
        <v>13.968159</v>
      </c>
      <c r="FB119" s="26">
        <v>27.395613999999998</v>
      </c>
      <c r="FC119" s="26">
        <v>0.33043</v>
      </c>
      <c r="FD119">
        <v>944</v>
      </c>
      <c r="FE119">
        <v>3180</v>
      </c>
      <c r="FF119">
        <v>294</v>
      </c>
      <c r="FG119">
        <v>1717</v>
      </c>
      <c r="FH119">
        <v>1</v>
      </c>
      <c r="FI119">
        <v>916</v>
      </c>
      <c r="FJ119">
        <v>597</v>
      </c>
      <c r="FK119" s="26" t="s">
        <v>359</v>
      </c>
      <c r="FL119" s="26" t="s">
        <v>359</v>
      </c>
      <c r="FM119" s="26" t="s">
        <v>359</v>
      </c>
      <c r="FN119" s="26" t="s">
        <v>359</v>
      </c>
      <c r="FO119" s="28">
        <v>5971</v>
      </c>
      <c r="FP119" s="28">
        <v>2147</v>
      </c>
      <c r="FQ119">
        <v>779</v>
      </c>
      <c r="FR119">
        <v>140</v>
      </c>
      <c r="FS119">
        <v>14</v>
      </c>
      <c r="FT119">
        <v>25</v>
      </c>
      <c r="FU119">
        <v>4935</v>
      </c>
      <c r="FV119">
        <v>6</v>
      </c>
      <c r="FW119">
        <v>21</v>
      </c>
      <c r="FX119">
        <v>0</v>
      </c>
      <c r="FY119">
        <v>6465</v>
      </c>
      <c r="FZ119">
        <v>1977</v>
      </c>
      <c r="GA119">
        <v>720</v>
      </c>
      <c r="GB119">
        <v>134</v>
      </c>
      <c r="GC119">
        <v>21</v>
      </c>
      <c r="GD119">
        <v>12</v>
      </c>
      <c r="GE119">
        <v>5522</v>
      </c>
      <c r="GF119">
        <v>4</v>
      </c>
      <c r="GG119">
        <v>18</v>
      </c>
      <c r="GH119">
        <v>0</v>
      </c>
      <c r="GI119">
        <v>495</v>
      </c>
      <c r="GJ119">
        <v>663</v>
      </c>
      <c r="GK119">
        <v>598</v>
      </c>
      <c r="GL119">
        <v>511</v>
      </c>
      <c r="GM119">
        <v>402</v>
      </c>
      <c r="GN119">
        <v>418</v>
      </c>
      <c r="GO119">
        <v>454</v>
      </c>
      <c r="GP119">
        <v>480</v>
      </c>
      <c r="GQ119">
        <v>396</v>
      </c>
      <c r="GR119">
        <v>353</v>
      </c>
      <c r="GS119">
        <v>257</v>
      </c>
      <c r="GT119">
        <v>234</v>
      </c>
      <c r="GU119">
        <v>200</v>
      </c>
      <c r="GV119">
        <v>149</v>
      </c>
      <c r="GW119">
        <v>123</v>
      </c>
      <c r="GX119">
        <v>102</v>
      </c>
      <c r="GY119">
        <v>61</v>
      </c>
      <c r="GZ119">
        <v>75</v>
      </c>
      <c r="HA119">
        <v>504</v>
      </c>
      <c r="HB119">
        <v>639</v>
      </c>
      <c r="HC119">
        <v>612</v>
      </c>
      <c r="HD119">
        <v>506</v>
      </c>
      <c r="HE119">
        <v>492</v>
      </c>
      <c r="HF119">
        <v>545</v>
      </c>
      <c r="HG119">
        <v>557</v>
      </c>
      <c r="HH119">
        <v>538</v>
      </c>
      <c r="HI119">
        <v>450</v>
      </c>
      <c r="HJ119">
        <v>379</v>
      </c>
      <c r="HK119">
        <v>307</v>
      </c>
      <c r="HL119">
        <v>240</v>
      </c>
      <c r="HM119">
        <v>182</v>
      </c>
      <c r="HN119">
        <v>171</v>
      </c>
      <c r="HO119">
        <v>115</v>
      </c>
      <c r="HP119">
        <v>94</v>
      </c>
      <c r="HQ119">
        <v>66</v>
      </c>
      <c r="HR119">
        <v>68</v>
      </c>
      <c r="HS119">
        <v>3858</v>
      </c>
      <c r="HT119">
        <v>0</v>
      </c>
      <c r="HU119">
        <v>7</v>
      </c>
      <c r="HV119">
        <v>0</v>
      </c>
      <c r="HW119">
        <v>4</v>
      </c>
      <c r="HX119">
        <v>0</v>
      </c>
      <c r="HY119">
        <v>1</v>
      </c>
      <c r="HZ119">
        <v>0</v>
      </c>
      <c r="IA119">
        <v>416</v>
      </c>
      <c r="IB119">
        <v>914</v>
      </c>
      <c r="IC119">
        <v>1049</v>
      </c>
      <c r="ID119">
        <v>1105</v>
      </c>
      <c r="IE119">
        <v>705</v>
      </c>
      <c r="IF119">
        <v>279</v>
      </c>
      <c r="IG119">
        <v>112</v>
      </c>
      <c r="IH119">
        <v>41</v>
      </c>
      <c r="II119">
        <v>43</v>
      </c>
      <c r="IJ119">
        <v>255</v>
      </c>
      <c r="IK119">
        <v>858</v>
      </c>
      <c r="IL119">
        <v>1374</v>
      </c>
      <c r="IM119">
        <v>1321</v>
      </c>
      <c r="IN119">
        <v>587</v>
      </c>
      <c r="IO119">
        <v>194</v>
      </c>
      <c r="IP119">
        <v>42</v>
      </c>
      <c r="IQ119">
        <v>24</v>
      </c>
      <c r="IR119">
        <v>9</v>
      </c>
      <c r="IS119">
        <v>2009</v>
      </c>
      <c r="IT119">
        <v>1955</v>
      </c>
      <c r="IU119">
        <v>596</v>
      </c>
      <c r="IV119">
        <v>87</v>
      </c>
      <c r="IW119">
        <v>17</v>
      </c>
      <c r="IX119">
        <v>692</v>
      </c>
      <c r="IY119">
        <v>2648</v>
      </c>
      <c r="IZ119">
        <v>3</v>
      </c>
      <c r="JA119">
        <v>56</v>
      </c>
      <c r="JB119">
        <v>14</v>
      </c>
      <c r="JC119">
        <v>128</v>
      </c>
      <c r="JD119">
        <v>4443</v>
      </c>
      <c r="JE119">
        <v>221</v>
      </c>
      <c r="JF119">
        <v>0</v>
      </c>
      <c r="JH119" s="28">
        <v>3438.7149335049648</v>
      </c>
      <c r="JI119" s="28">
        <v>189.06934072433637</v>
      </c>
      <c r="JJ119">
        <v>238</v>
      </c>
      <c r="JK119">
        <v>4006</v>
      </c>
      <c r="JL119">
        <v>420</v>
      </c>
      <c r="JM119">
        <v>0</v>
      </c>
      <c r="JN119">
        <v>3355</v>
      </c>
      <c r="JO119">
        <v>2685</v>
      </c>
      <c r="JP119">
        <v>1169</v>
      </c>
      <c r="JQ119">
        <v>3067</v>
      </c>
      <c r="JR119">
        <v>3901</v>
      </c>
      <c r="JS119">
        <v>359</v>
      </c>
      <c r="JT119">
        <v>216</v>
      </c>
      <c r="JU119">
        <v>3587</v>
      </c>
      <c r="JV119">
        <v>745</v>
      </c>
      <c r="JW119" s="28"/>
      <c r="JX119" s="28"/>
      <c r="JY119" s="28"/>
      <c r="JZ119" s="28"/>
      <c r="KA119" s="28">
        <v>4619.00000232</v>
      </c>
      <c r="KB119">
        <v>14000</v>
      </c>
      <c r="KC119">
        <v>0</v>
      </c>
      <c r="KD119">
        <v>17</v>
      </c>
      <c r="KE119">
        <v>0</v>
      </c>
      <c r="KF119">
        <v>6</v>
      </c>
      <c r="KG119">
        <v>0</v>
      </c>
      <c r="KH119">
        <v>1</v>
      </c>
      <c r="KI119">
        <v>0</v>
      </c>
      <c r="KJ119">
        <v>803</v>
      </c>
      <c r="KK119">
        <v>14264</v>
      </c>
      <c r="KL119">
        <v>1474</v>
      </c>
      <c r="KM119">
        <v>0</v>
      </c>
      <c r="KT119">
        <v>2118</v>
      </c>
      <c r="KU119">
        <v>2008</v>
      </c>
      <c r="KV119">
        <v>1725</v>
      </c>
      <c r="KW119">
        <v>235</v>
      </c>
      <c r="KX119">
        <v>95</v>
      </c>
      <c r="KZ119">
        <v>1707</v>
      </c>
      <c r="LA119">
        <v>164</v>
      </c>
      <c r="LB119">
        <v>83</v>
      </c>
      <c r="LD119">
        <v>1199</v>
      </c>
      <c r="LE119">
        <v>1264</v>
      </c>
      <c r="LF119">
        <v>871</v>
      </c>
      <c r="LG119">
        <v>1136</v>
      </c>
      <c r="LH119">
        <v>11963</v>
      </c>
      <c r="LI119">
        <v>10</v>
      </c>
      <c r="LJ119">
        <v>1159</v>
      </c>
      <c r="LK119">
        <v>167</v>
      </c>
      <c r="LL119">
        <v>1205</v>
      </c>
      <c r="LM119">
        <v>0</v>
      </c>
      <c r="LN119">
        <v>575</v>
      </c>
      <c r="LO119">
        <v>251</v>
      </c>
      <c r="LP119">
        <v>8</v>
      </c>
      <c r="LQ119">
        <v>1348</v>
      </c>
      <c r="LR119">
        <v>176</v>
      </c>
      <c r="LS119">
        <v>1517</v>
      </c>
      <c r="LT119">
        <v>1</v>
      </c>
      <c r="LU119">
        <v>459</v>
      </c>
      <c r="LV119">
        <v>167</v>
      </c>
      <c r="LW119" s="44"/>
      <c r="LX119" s="44"/>
      <c r="LY119" s="44"/>
      <c r="LZ119">
        <v>4664</v>
      </c>
      <c r="MA119">
        <v>16541</v>
      </c>
      <c r="MB119">
        <v>15316</v>
      </c>
      <c r="MC119">
        <v>353</v>
      </c>
      <c r="MD119" s="26">
        <v>16.776727999999999</v>
      </c>
      <c r="ME119" s="26">
        <v>8.9029089999999993</v>
      </c>
      <c r="MF119" s="26">
        <v>58.789600999999998</v>
      </c>
      <c r="MG119" s="26">
        <v>24.903382000000001</v>
      </c>
      <c r="MH119" s="26">
        <v>5.1029159999999996</v>
      </c>
      <c r="MI119" s="26">
        <v>3.2375639999999999</v>
      </c>
      <c r="MJ119" s="26">
        <v>7.8044599999999997</v>
      </c>
      <c r="MK119" s="26">
        <v>4.7384219999999999</v>
      </c>
      <c r="ML119" s="26">
        <v>0.96483699999999994</v>
      </c>
      <c r="MM119" s="26">
        <v>42.431388999999996</v>
      </c>
      <c r="MN119" s="26">
        <v>28.066037999999999</v>
      </c>
      <c r="MO119" s="26">
        <v>0.179531</v>
      </c>
      <c r="MP119" t="s">
        <v>1029</v>
      </c>
      <c r="MQ119">
        <v>859</v>
      </c>
      <c r="MR119">
        <v>79</v>
      </c>
    </row>
    <row r="120" spans="1:356">
      <c r="A120" t="s">
        <v>245</v>
      </c>
      <c r="B120" t="s">
        <v>246</v>
      </c>
      <c r="C120">
        <v>13934</v>
      </c>
      <c r="D120">
        <v>14089</v>
      </c>
      <c r="E120">
        <v>16008</v>
      </c>
      <c r="F120">
        <f t="shared" si="6"/>
        <v>1919</v>
      </c>
      <c r="G120" s="26">
        <f t="shared" si="7"/>
        <v>13.620555042941305</v>
      </c>
      <c r="H120">
        <v>7847</v>
      </c>
      <c r="I120">
        <v>8161</v>
      </c>
      <c r="J120">
        <v>7321</v>
      </c>
      <c r="K120">
        <v>8687</v>
      </c>
      <c r="L120">
        <v>780</v>
      </c>
      <c r="M120">
        <v>815</v>
      </c>
      <c r="N120">
        <v>832</v>
      </c>
      <c r="O120">
        <v>770</v>
      </c>
      <c r="P120">
        <v>575</v>
      </c>
      <c r="Q120">
        <v>459</v>
      </c>
      <c r="R120">
        <v>456</v>
      </c>
      <c r="S120">
        <v>495</v>
      </c>
      <c r="T120">
        <v>477</v>
      </c>
      <c r="U120">
        <v>397</v>
      </c>
      <c r="V120">
        <v>395</v>
      </c>
      <c r="W120">
        <v>341</v>
      </c>
      <c r="X120">
        <v>286</v>
      </c>
      <c r="Y120">
        <v>767</v>
      </c>
      <c r="Z120">
        <v>2</v>
      </c>
      <c r="AA120">
        <v>682</v>
      </c>
      <c r="AB120">
        <v>792</v>
      </c>
      <c r="AC120">
        <v>760</v>
      </c>
      <c r="AD120">
        <v>723</v>
      </c>
      <c r="AE120">
        <v>656</v>
      </c>
      <c r="AF120">
        <v>561</v>
      </c>
      <c r="AG120">
        <v>560</v>
      </c>
      <c r="AH120">
        <v>572</v>
      </c>
      <c r="AI120">
        <v>551</v>
      </c>
      <c r="AJ120">
        <v>469</v>
      </c>
      <c r="AK120">
        <v>395</v>
      </c>
      <c r="AL120">
        <v>312</v>
      </c>
      <c r="AM120">
        <v>294</v>
      </c>
      <c r="AN120">
        <v>832</v>
      </c>
      <c r="AO120">
        <v>2</v>
      </c>
      <c r="AP120">
        <v>15153</v>
      </c>
      <c r="AQ120">
        <v>457</v>
      </c>
      <c r="AR120">
        <v>40</v>
      </c>
      <c r="AS120">
        <v>346</v>
      </c>
      <c r="AT120">
        <v>12</v>
      </c>
      <c r="AU120">
        <v>159</v>
      </c>
      <c r="AV120">
        <v>81</v>
      </c>
      <c r="AW120">
        <v>78</v>
      </c>
      <c r="AX120">
        <v>234</v>
      </c>
      <c r="AY120">
        <v>144</v>
      </c>
      <c r="AZ120">
        <v>81</v>
      </c>
      <c r="BA120">
        <v>63</v>
      </c>
      <c r="BB120">
        <v>0</v>
      </c>
      <c r="BC120">
        <v>0</v>
      </c>
      <c r="BD120">
        <v>1</v>
      </c>
      <c r="BE120">
        <v>2</v>
      </c>
      <c r="BF120">
        <v>3</v>
      </c>
      <c r="BG120">
        <v>5</v>
      </c>
      <c r="BH120">
        <v>0</v>
      </c>
      <c r="BI120">
        <v>2</v>
      </c>
      <c r="BJ120">
        <v>2</v>
      </c>
      <c r="BK120">
        <v>9</v>
      </c>
      <c r="BL120">
        <v>4</v>
      </c>
      <c r="BM120">
        <v>2</v>
      </c>
      <c r="BN120">
        <v>5</v>
      </c>
      <c r="BO120">
        <v>4</v>
      </c>
      <c r="BP120">
        <v>3</v>
      </c>
      <c r="BQ120">
        <v>5</v>
      </c>
      <c r="BR120">
        <v>5</v>
      </c>
      <c r="BS120">
        <v>8</v>
      </c>
      <c r="BT120">
        <v>4</v>
      </c>
      <c r="BU120">
        <v>5</v>
      </c>
      <c r="BV120">
        <v>7</v>
      </c>
      <c r="BW120">
        <v>4</v>
      </c>
      <c r="BX120">
        <v>7</v>
      </c>
      <c r="BY120">
        <v>3</v>
      </c>
      <c r="BZ120">
        <v>8</v>
      </c>
      <c r="CA120">
        <v>3</v>
      </c>
      <c r="CB120">
        <v>32</v>
      </c>
      <c r="CC120">
        <v>26</v>
      </c>
      <c r="CD120">
        <v>79</v>
      </c>
      <c r="CE120">
        <v>77</v>
      </c>
      <c r="CF120">
        <v>2</v>
      </c>
      <c r="CG120">
        <v>0</v>
      </c>
      <c r="CH120">
        <v>2724</v>
      </c>
      <c r="CI120">
        <v>1212</v>
      </c>
      <c r="CJ120">
        <v>11576</v>
      </c>
      <c r="CK120">
        <v>4392</v>
      </c>
      <c r="CL120">
        <v>451</v>
      </c>
      <c r="CM120">
        <v>583</v>
      </c>
      <c r="CN120">
        <v>673</v>
      </c>
      <c r="CO120">
        <v>773</v>
      </c>
      <c r="CP120">
        <v>598</v>
      </c>
      <c r="CQ120">
        <v>858</v>
      </c>
      <c r="CR120">
        <v>2448</v>
      </c>
      <c r="CS120">
        <v>6521</v>
      </c>
      <c r="CT120">
        <v>1820</v>
      </c>
      <c r="CU120">
        <v>471</v>
      </c>
      <c r="CV120">
        <v>191</v>
      </c>
      <c r="CW120">
        <v>535</v>
      </c>
      <c r="CX120">
        <v>44</v>
      </c>
      <c r="CY120">
        <v>2151</v>
      </c>
      <c r="CZ120">
        <v>1298</v>
      </c>
      <c r="DA120">
        <v>28</v>
      </c>
      <c r="DB120">
        <v>451</v>
      </c>
      <c r="DC120">
        <v>6</v>
      </c>
      <c r="DD120">
        <v>236</v>
      </c>
      <c r="DE120">
        <v>871</v>
      </c>
      <c r="DF120">
        <v>2487</v>
      </c>
      <c r="DG120">
        <v>5093</v>
      </c>
      <c r="DH120">
        <v>7321</v>
      </c>
      <c r="DI120">
        <v>0</v>
      </c>
      <c r="DJ120">
        <v>0</v>
      </c>
      <c r="DK120">
        <v>0</v>
      </c>
      <c r="DL120">
        <v>0</v>
      </c>
      <c r="DM120">
        <v>16</v>
      </c>
      <c r="DN120">
        <v>6</v>
      </c>
      <c r="DO120">
        <v>7</v>
      </c>
      <c r="DP120">
        <v>6</v>
      </c>
      <c r="DQ120">
        <v>2</v>
      </c>
      <c r="DR120">
        <v>0</v>
      </c>
      <c r="DS120">
        <v>0</v>
      </c>
      <c r="DT120">
        <v>0</v>
      </c>
      <c r="DU120">
        <v>0</v>
      </c>
      <c r="DV120">
        <v>324</v>
      </c>
      <c r="DW120">
        <v>375</v>
      </c>
      <c r="DX120">
        <v>459</v>
      </c>
      <c r="DY120">
        <v>600</v>
      </c>
      <c r="DZ120">
        <v>241</v>
      </c>
      <c r="EA120">
        <v>242</v>
      </c>
      <c r="EB120">
        <v>103</v>
      </c>
      <c r="EC120">
        <v>96</v>
      </c>
      <c r="ED120">
        <v>84</v>
      </c>
      <c r="EE120">
        <v>97</v>
      </c>
      <c r="EF120">
        <v>143</v>
      </c>
      <c r="EG120">
        <v>178</v>
      </c>
      <c r="EH120">
        <v>106</v>
      </c>
      <c r="EI120">
        <v>72</v>
      </c>
      <c r="EJ120">
        <v>525</v>
      </c>
      <c r="EK120">
        <v>765</v>
      </c>
      <c r="EL120">
        <v>367</v>
      </c>
      <c r="EM120">
        <v>123</v>
      </c>
      <c r="EN120">
        <v>133</v>
      </c>
      <c r="EO120">
        <v>237</v>
      </c>
      <c r="EP120">
        <v>120</v>
      </c>
      <c r="EQ120">
        <v>4242</v>
      </c>
      <c r="ER120">
        <v>4110</v>
      </c>
      <c r="ES120">
        <v>132</v>
      </c>
      <c r="ET120">
        <v>1628</v>
      </c>
      <c r="EU120">
        <v>2076</v>
      </c>
      <c r="EV120">
        <v>2025</v>
      </c>
      <c r="EW120">
        <v>51</v>
      </c>
      <c r="EX120">
        <v>4291</v>
      </c>
      <c r="EY120" s="26">
        <v>48.341431999999998</v>
      </c>
      <c r="EZ120" s="26">
        <v>11.345869</v>
      </c>
      <c r="FA120" s="26">
        <v>9.5922249999999991</v>
      </c>
      <c r="FB120" s="26">
        <v>30.572576000000002</v>
      </c>
      <c r="FC120" s="26">
        <v>0.147898</v>
      </c>
      <c r="FD120">
        <v>569</v>
      </c>
      <c r="FE120">
        <v>1558</v>
      </c>
      <c r="FF120">
        <v>140</v>
      </c>
      <c r="FG120">
        <v>1806</v>
      </c>
      <c r="FH120">
        <v>2</v>
      </c>
      <c r="FI120">
        <v>1398</v>
      </c>
      <c r="FJ120">
        <v>840</v>
      </c>
      <c r="FK120" s="26" t="s">
        <v>359</v>
      </c>
      <c r="FL120" s="26" t="s">
        <v>359</v>
      </c>
      <c r="FM120" s="26" t="s">
        <v>359</v>
      </c>
      <c r="FN120" s="26" t="s">
        <v>359</v>
      </c>
      <c r="FO120" s="28">
        <v>5049</v>
      </c>
      <c r="FP120" s="28">
        <v>2796</v>
      </c>
      <c r="FQ120">
        <v>993</v>
      </c>
      <c r="FR120">
        <v>297</v>
      </c>
      <c r="FS120">
        <v>72</v>
      </c>
      <c r="FT120">
        <v>125</v>
      </c>
      <c r="FU120">
        <v>3126</v>
      </c>
      <c r="FV120">
        <v>17</v>
      </c>
      <c r="FW120">
        <v>303</v>
      </c>
      <c r="FX120">
        <v>2</v>
      </c>
      <c r="FY120">
        <v>5683</v>
      </c>
      <c r="FZ120">
        <v>2476</v>
      </c>
      <c r="GA120">
        <v>1145</v>
      </c>
      <c r="GB120">
        <v>370</v>
      </c>
      <c r="GC120">
        <v>82</v>
      </c>
      <c r="GD120">
        <v>96</v>
      </c>
      <c r="GE120">
        <v>3557</v>
      </c>
      <c r="GF120">
        <v>8</v>
      </c>
      <c r="GG120">
        <v>314</v>
      </c>
      <c r="GH120">
        <v>2</v>
      </c>
      <c r="GI120">
        <v>500</v>
      </c>
      <c r="GJ120">
        <v>531</v>
      </c>
      <c r="GK120">
        <v>562</v>
      </c>
      <c r="GL120">
        <v>551</v>
      </c>
      <c r="GM120">
        <v>328</v>
      </c>
      <c r="GN120">
        <v>245</v>
      </c>
      <c r="GO120">
        <v>242</v>
      </c>
      <c r="GP120">
        <v>307</v>
      </c>
      <c r="GQ120">
        <v>304</v>
      </c>
      <c r="GR120">
        <v>247</v>
      </c>
      <c r="GS120">
        <v>251</v>
      </c>
      <c r="GT120">
        <v>221</v>
      </c>
      <c r="GU120">
        <v>184</v>
      </c>
      <c r="GV120">
        <v>160</v>
      </c>
      <c r="GW120">
        <v>144</v>
      </c>
      <c r="GX120">
        <v>115</v>
      </c>
      <c r="GY120">
        <v>81</v>
      </c>
      <c r="GZ120">
        <v>76</v>
      </c>
      <c r="HA120">
        <v>414</v>
      </c>
      <c r="HB120">
        <v>535</v>
      </c>
      <c r="HC120">
        <v>528</v>
      </c>
      <c r="HD120">
        <v>551</v>
      </c>
      <c r="HE120">
        <v>422</v>
      </c>
      <c r="HF120">
        <v>366</v>
      </c>
      <c r="HG120">
        <v>383</v>
      </c>
      <c r="HH120">
        <v>397</v>
      </c>
      <c r="HI120">
        <v>395</v>
      </c>
      <c r="HJ120">
        <v>342</v>
      </c>
      <c r="HK120">
        <v>281</v>
      </c>
      <c r="HL120">
        <v>212</v>
      </c>
      <c r="HM120">
        <v>220</v>
      </c>
      <c r="HN120">
        <v>209</v>
      </c>
      <c r="HO120">
        <v>136</v>
      </c>
      <c r="HP120">
        <v>123</v>
      </c>
      <c r="HQ120">
        <v>73</v>
      </c>
      <c r="HR120">
        <v>96</v>
      </c>
      <c r="HS120">
        <v>3376</v>
      </c>
      <c r="HT120">
        <v>0</v>
      </c>
      <c r="HU120">
        <v>6</v>
      </c>
      <c r="HV120">
        <v>0</v>
      </c>
      <c r="HW120">
        <v>7</v>
      </c>
      <c r="HX120">
        <v>0</v>
      </c>
      <c r="HY120">
        <v>5</v>
      </c>
      <c r="HZ120">
        <v>0</v>
      </c>
      <c r="IA120">
        <v>448</v>
      </c>
      <c r="IB120">
        <v>582</v>
      </c>
      <c r="IC120">
        <v>670</v>
      </c>
      <c r="ID120">
        <v>770</v>
      </c>
      <c r="IE120">
        <v>598</v>
      </c>
      <c r="IF120">
        <v>371</v>
      </c>
      <c r="IG120">
        <v>211</v>
      </c>
      <c r="IH120">
        <v>128</v>
      </c>
      <c r="II120">
        <v>146</v>
      </c>
      <c r="IJ120">
        <v>432</v>
      </c>
      <c r="IK120">
        <v>935</v>
      </c>
      <c r="IL120">
        <v>923</v>
      </c>
      <c r="IM120">
        <v>885</v>
      </c>
      <c r="IN120">
        <v>477</v>
      </c>
      <c r="IO120">
        <v>167</v>
      </c>
      <c r="IP120">
        <v>61</v>
      </c>
      <c r="IQ120">
        <v>24</v>
      </c>
      <c r="IR120">
        <v>18</v>
      </c>
      <c r="IS120">
        <v>1639</v>
      </c>
      <c r="IT120">
        <v>1380</v>
      </c>
      <c r="IU120">
        <v>701</v>
      </c>
      <c r="IV120">
        <v>155</v>
      </c>
      <c r="IW120">
        <v>47</v>
      </c>
      <c r="IX120">
        <v>3108</v>
      </c>
      <c r="IY120">
        <v>545</v>
      </c>
      <c r="IZ120">
        <v>2</v>
      </c>
      <c r="JA120">
        <v>33</v>
      </c>
      <c r="JB120">
        <v>0</v>
      </c>
      <c r="JC120">
        <v>151</v>
      </c>
      <c r="JD120">
        <v>3838</v>
      </c>
      <c r="JE120">
        <v>84</v>
      </c>
      <c r="JF120">
        <v>2</v>
      </c>
      <c r="JH120" s="28">
        <v>3122.5628158710456</v>
      </c>
      <c r="JI120" s="28">
        <v>85.362070984268044</v>
      </c>
      <c r="JJ120">
        <v>293</v>
      </c>
      <c r="JK120">
        <v>3228</v>
      </c>
      <c r="JL120">
        <v>401</v>
      </c>
      <c r="JM120">
        <v>2</v>
      </c>
      <c r="JN120">
        <v>2578</v>
      </c>
      <c r="JO120">
        <v>1534</v>
      </c>
      <c r="JP120">
        <v>575</v>
      </c>
      <c r="JQ120">
        <v>2726</v>
      </c>
      <c r="JR120">
        <v>3414</v>
      </c>
      <c r="JS120">
        <v>435</v>
      </c>
      <c r="JT120">
        <v>253</v>
      </c>
      <c r="JU120">
        <v>3236</v>
      </c>
      <c r="JV120">
        <v>771</v>
      </c>
      <c r="JW120" s="28"/>
      <c r="JX120" s="28"/>
      <c r="JY120" s="28"/>
      <c r="JZ120" s="28"/>
      <c r="KA120" s="28">
        <v>3878.00000748</v>
      </c>
      <c r="KB120">
        <v>13768</v>
      </c>
      <c r="KC120">
        <v>0</v>
      </c>
      <c r="KD120">
        <v>21</v>
      </c>
      <c r="KE120">
        <v>0</v>
      </c>
      <c r="KF120">
        <v>20</v>
      </c>
      <c r="KG120">
        <v>0</v>
      </c>
      <c r="KH120">
        <v>23</v>
      </c>
      <c r="KI120">
        <v>0</v>
      </c>
      <c r="KJ120">
        <v>1297</v>
      </c>
      <c r="KK120">
        <v>13061</v>
      </c>
      <c r="KL120">
        <v>1563</v>
      </c>
      <c r="KM120">
        <v>4</v>
      </c>
      <c r="KT120">
        <v>2326</v>
      </c>
      <c r="KU120">
        <v>2279</v>
      </c>
      <c r="KV120">
        <v>1811</v>
      </c>
      <c r="KW120">
        <v>337</v>
      </c>
      <c r="KX120">
        <v>134</v>
      </c>
      <c r="KZ120">
        <v>1746</v>
      </c>
      <c r="LA120">
        <v>326</v>
      </c>
      <c r="LB120">
        <v>162</v>
      </c>
      <c r="LD120">
        <v>1324</v>
      </c>
      <c r="LE120">
        <v>1229</v>
      </c>
      <c r="LF120">
        <v>430</v>
      </c>
      <c r="LG120">
        <v>769</v>
      </c>
      <c r="LH120">
        <v>11343</v>
      </c>
      <c r="LI120">
        <v>12</v>
      </c>
      <c r="LJ120">
        <v>662</v>
      </c>
      <c r="LK120">
        <v>140</v>
      </c>
      <c r="LL120">
        <v>1397</v>
      </c>
      <c r="LM120">
        <v>3</v>
      </c>
      <c r="LN120">
        <v>994</v>
      </c>
      <c r="LO120">
        <v>343</v>
      </c>
      <c r="LP120">
        <v>13</v>
      </c>
      <c r="LQ120">
        <v>694</v>
      </c>
      <c r="LR120">
        <v>117</v>
      </c>
      <c r="LS120">
        <v>1713</v>
      </c>
      <c r="LT120">
        <v>1</v>
      </c>
      <c r="LU120">
        <v>956</v>
      </c>
      <c r="LV120">
        <v>363</v>
      </c>
      <c r="LW120" s="44"/>
      <c r="LX120" s="44"/>
      <c r="LY120" s="44"/>
      <c r="LZ120">
        <v>3924</v>
      </c>
      <c r="MA120">
        <v>15925</v>
      </c>
      <c r="MB120">
        <v>15350</v>
      </c>
      <c r="MC120">
        <v>267</v>
      </c>
      <c r="MD120" s="26">
        <v>10.570395999999999</v>
      </c>
      <c r="ME120" s="26">
        <v>6.4058169999999999</v>
      </c>
      <c r="MF120" s="26">
        <v>38.023451000000001</v>
      </c>
      <c r="MG120" s="26">
        <v>32.933532999999997</v>
      </c>
      <c r="MH120" s="26">
        <v>7.4668709999999994</v>
      </c>
      <c r="MI120" s="26">
        <v>1.452599</v>
      </c>
      <c r="MJ120" s="26">
        <v>1.0958209999999999</v>
      </c>
      <c r="MK120" s="26">
        <v>2.140673</v>
      </c>
      <c r="ML120" s="26">
        <v>1.1722729999999999</v>
      </c>
      <c r="MM120" s="26">
        <v>60.907238</v>
      </c>
      <c r="MN120" s="26">
        <v>34.301732999999999</v>
      </c>
      <c r="MO120" s="26">
        <v>-0.14005299999999998</v>
      </c>
      <c r="MP120" t="s">
        <v>1027</v>
      </c>
      <c r="MQ120">
        <v>1166</v>
      </c>
      <c r="MR120">
        <v>107</v>
      </c>
    </row>
    <row r="121" spans="1:356">
      <c r="A121" t="s">
        <v>247</v>
      </c>
      <c r="B121" t="s">
        <v>248</v>
      </c>
      <c r="C121">
        <v>52833</v>
      </c>
      <c r="D121">
        <v>61341</v>
      </c>
      <c r="E121">
        <v>67292</v>
      </c>
      <c r="F121">
        <f t="shared" si="6"/>
        <v>5951</v>
      </c>
      <c r="G121" s="26">
        <f t="shared" si="7"/>
        <v>9.7015047032164432</v>
      </c>
      <c r="H121">
        <v>33499</v>
      </c>
      <c r="I121">
        <v>33793</v>
      </c>
      <c r="J121">
        <v>41780</v>
      </c>
      <c r="K121">
        <v>25512</v>
      </c>
      <c r="L121">
        <v>3026</v>
      </c>
      <c r="M121">
        <v>3464</v>
      </c>
      <c r="N121">
        <v>3651</v>
      </c>
      <c r="O121">
        <v>3093</v>
      </c>
      <c r="P121">
        <v>2607</v>
      </c>
      <c r="Q121">
        <v>2489</v>
      </c>
      <c r="R121">
        <v>2313</v>
      </c>
      <c r="S121">
        <v>2253</v>
      </c>
      <c r="T121">
        <v>2149</v>
      </c>
      <c r="U121">
        <v>1888</v>
      </c>
      <c r="V121">
        <v>1547</v>
      </c>
      <c r="W121">
        <v>1358</v>
      </c>
      <c r="X121">
        <v>1054</v>
      </c>
      <c r="Y121">
        <v>2574</v>
      </c>
      <c r="Z121">
        <v>33</v>
      </c>
      <c r="AA121">
        <v>2925</v>
      </c>
      <c r="AB121">
        <v>3441</v>
      </c>
      <c r="AC121">
        <v>3410</v>
      </c>
      <c r="AD121">
        <v>3085</v>
      </c>
      <c r="AE121">
        <v>2758</v>
      </c>
      <c r="AF121">
        <v>2675</v>
      </c>
      <c r="AG121">
        <v>2611</v>
      </c>
      <c r="AH121">
        <v>2486</v>
      </c>
      <c r="AI121">
        <v>2218</v>
      </c>
      <c r="AJ121">
        <v>1942</v>
      </c>
      <c r="AK121">
        <v>1625</v>
      </c>
      <c r="AL121">
        <v>1283</v>
      </c>
      <c r="AM121">
        <v>1065</v>
      </c>
      <c r="AN121">
        <v>2236</v>
      </c>
      <c r="AO121">
        <v>33</v>
      </c>
      <c r="AP121">
        <v>66668</v>
      </c>
      <c r="AQ121">
        <v>414</v>
      </c>
      <c r="AR121">
        <v>7</v>
      </c>
      <c r="AS121">
        <v>125</v>
      </c>
      <c r="AT121">
        <v>78</v>
      </c>
      <c r="AU121">
        <v>15043</v>
      </c>
      <c r="AV121">
        <v>7599</v>
      </c>
      <c r="AW121">
        <v>7444</v>
      </c>
      <c r="AX121">
        <v>9495</v>
      </c>
      <c r="AY121">
        <v>12855</v>
      </c>
      <c r="AZ121">
        <v>5434</v>
      </c>
      <c r="BA121">
        <v>7421</v>
      </c>
      <c r="BB121">
        <v>298</v>
      </c>
      <c r="BC121">
        <v>294</v>
      </c>
      <c r="BD121">
        <v>894</v>
      </c>
      <c r="BE121">
        <v>835</v>
      </c>
      <c r="BF121">
        <v>901</v>
      </c>
      <c r="BG121">
        <v>867</v>
      </c>
      <c r="BH121">
        <v>779</v>
      </c>
      <c r="BI121">
        <v>785</v>
      </c>
      <c r="BJ121">
        <v>627</v>
      </c>
      <c r="BK121">
        <v>619</v>
      </c>
      <c r="BL121">
        <v>603</v>
      </c>
      <c r="BM121">
        <v>653</v>
      </c>
      <c r="BN121">
        <v>537</v>
      </c>
      <c r="BO121">
        <v>578</v>
      </c>
      <c r="BP121">
        <v>517</v>
      </c>
      <c r="BQ121">
        <v>540</v>
      </c>
      <c r="BR121">
        <v>491</v>
      </c>
      <c r="BS121">
        <v>504</v>
      </c>
      <c r="BT121">
        <v>482</v>
      </c>
      <c r="BU121">
        <v>416</v>
      </c>
      <c r="BV121">
        <v>346</v>
      </c>
      <c r="BW121">
        <v>330</v>
      </c>
      <c r="BX121">
        <v>305</v>
      </c>
      <c r="BY121">
        <v>279</v>
      </c>
      <c r="BZ121">
        <v>239</v>
      </c>
      <c r="CA121">
        <v>214</v>
      </c>
      <c r="CB121">
        <v>580</v>
      </c>
      <c r="CC121">
        <v>530</v>
      </c>
      <c r="CD121">
        <v>7200</v>
      </c>
      <c r="CE121">
        <v>6861</v>
      </c>
      <c r="CF121">
        <v>373</v>
      </c>
      <c r="CG121">
        <v>556</v>
      </c>
      <c r="CH121">
        <v>14118</v>
      </c>
      <c r="CI121">
        <v>3783</v>
      </c>
      <c r="CJ121">
        <v>55354</v>
      </c>
      <c r="CK121">
        <v>11903</v>
      </c>
      <c r="CL121">
        <v>1722</v>
      </c>
      <c r="CM121">
        <v>3152</v>
      </c>
      <c r="CN121">
        <v>3585</v>
      </c>
      <c r="CO121">
        <v>4158</v>
      </c>
      <c r="CP121">
        <v>2707</v>
      </c>
      <c r="CQ121">
        <v>2577</v>
      </c>
      <c r="CR121">
        <v>13249</v>
      </c>
      <c r="CS121">
        <v>28103</v>
      </c>
      <c r="CT121">
        <v>4384</v>
      </c>
      <c r="CU121">
        <v>1687</v>
      </c>
      <c r="CV121">
        <v>546</v>
      </c>
      <c r="CW121">
        <v>1213</v>
      </c>
      <c r="CX121">
        <v>130</v>
      </c>
      <c r="CY121">
        <v>12187</v>
      </c>
      <c r="CZ121">
        <v>3881</v>
      </c>
      <c r="DA121">
        <v>70</v>
      </c>
      <c r="DB121">
        <v>1722</v>
      </c>
      <c r="DC121">
        <v>22</v>
      </c>
      <c r="DD121">
        <v>3072</v>
      </c>
      <c r="DE121">
        <v>3824</v>
      </c>
      <c r="DF121">
        <v>6020</v>
      </c>
      <c r="DG121">
        <v>12596</v>
      </c>
      <c r="DH121">
        <v>17663</v>
      </c>
      <c r="DI121">
        <v>7973</v>
      </c>
      <c r="DJ121">
        <v>16144</v>
      </c>
      <c r="DK121">
        <v>0</v>
      </c>
      <c r="DL121">
        <v>0</v>
      </c>
      <c r="DM121">
        <v>250</v>
      </c>
      <c r="DN121">
        <v>25</v>
      </c>
      <c r="DO121">
        <v>16</v>
      </c>
      <c r="DP121">
        <v>9</v>
      </c>
      <c r="DQ121">
        <v>5</v>
      </c>
      <c r="DR121">
        <v>1</v>
      </c>
      <c r="DS121">
        <v>1</v>
      </c>
      <c r="DT121">
        <v>0</v>
      </c>
      <c r="DU121">
        <v>0</v>
      </c>
      <c r="DV121">
        <v>1880</v>
      </c>
      <c r="DW121">
        <v>1968</v>
      </c>
      <c r="DX121">
        <v>2437</v>
      </c>
      <c r="DY121">
        <v>2729</v>
      </c>
      <c r="DZ121">
        <v>1294</v>
      </c>
      <c r="EA121">
        <v>1000</v>
      </c>
      <c r="EB121">
        <v>537</v>
      </c>
      <c r="EC121">
        <v>416</v>
      </c>
      <c r="ED121">
        <v>412</v>
      </c>
      <c r="EE121">
        <v>412</v>
      </c>
      <c r="EF121">
        <v>741</v>
      </c>
      <c r="EG121">
        <v>811</v>
      </c>
      <c r="EH121">
        <v>370</v>
      </c>
      <c r="EI121">
        <v>308</v>
      </c>
      <c r="EJ121">
        <v>2653</v>
      </c>
      <c r="EK121">
        <v>3533</v>
      </c>
      <c r="EL121">
        <v>1559</v>
      </c>
      <c r="EM121">
        <v>640</v>
      </c>
      <c r="EN121">
        <v>571</v>
      </c>
      <c r="EO121">
        <v>1080</v>
      </c>
      <c r="EP121">
        <v>470</v>
      </c>
      <c r="EQ121">
        <v>21028</v>
      </c>
      <c r="ER121">
        <v>20733</v>
      </c>
      <c r="ES121">
        <v>295</v>
      </c>
      <c r="ET121">
        <v>4312</v>
      </c>
      <c r="EU121">
        <v>12261</v>
      </c>
      <c r="EV121">
        <v>12172</v>
      </c>
      <c r="EW121">
        <v>89</v>
      </c>
      <c r="EX121">
        <v>13666</v>
      </c>
      <c r="EY121" s="26">
        <v>52.408679999999997</v>
      </c>
      <c r="EZ121" s="26">
        <v>24.103552000000001</v>
      </c>
      <c r="FA121" s="26">
        <v>8.1266759999999998</v>
      </c>
      <c r="FB121" s="26">
        <v>15.143264</v>
      </c>
      <c r="FC121" s="26">
        <v>0.21782799999999999</v>
      </c>
      <c r="FD121">
        <v>6108</v>
      </c>
      <c r="FE121">
        <v>11528</v>
      </c>
      <c r="FF121">
        <v>1486</v>
      </c>
      <c r="FG121">
        <v>6476</v>
      </c>
      <c r="FH121">
        <v>18</v>
      </c>
      <c r="FI121">
        <v>4697</v>
      </c>
      <c r="FJ121">
        <v>2961</v>
      </c>
      <c r="FK121" s="26" t="s">
        <v>359</v>
      </c>
      <c r="FL121" s="26" t="s">
        <v>359</v>
      </c>
      <c r="FM121" s="26" t="s">
        <v>359</v>
      </c>
      <c r="FN121" s="26" t="s">
        <v>359</v>
      </c>
      <c r="FO121" s="28">
        <v>22475</v>
      </c>
      <c r="FP121" s="28">
        <v>10986</v>
      </c>
      <c r="FQ121">
        <v>4933</v>
      </c>
      <c r="FR121">
        <v>841</v>
      </c>
      <c r="FS121">
        <v>153</v>
      </c>
      <c r="FT121">
        <v>47</v>
      </c>
      <c r="FU121">
        <v>11875</v>
      </c>
      <c r="FV121">
        <v>72</v>
      </c>
      <c r="FW121">
        <v>49</v>
      </c>
      <c r="FX121">
        <v>38</v>
      </c>
      <c r="FY121">
        <v>23316</v>
      </c>
      <c r="FZ121">
        <v>10436</v>
      </c>
      <c r="GA121">
        <v>4569</v>
      </c>
      <c r="GB121">
        <v>924</v>
      </c>
      <c r="GC121">
        <v>220</v>
      </c>
      <c r="GD121">
        <v>45</v>
      </c>
      <c r="GE121">
        <v>12749</v>
      </c>
      <c r="GF121">
        <v>48</v>
      </c>
      <c r="GG121">
        <v>42</v>
      </c>
      <c r="GH121">
        <v>41</v>
      </c>
      <c r="GI121">
        <v>1858</v>
      </c>
      <c r="GJ121">
        <v>2470</v>
      </c>
      <c r="GK121">
        <v>2590</v>
      </c>
      <c r="GL121">
        <v>2108</v>
      </c>
      <c r="GM121">
        <v>1604</v>
      </c>
      <c r="GN121">
        <v>1606</v>
      </c>
      <c r="GO121">
        <v>1567</v>
      </c>
      <c r="GP121">
        <v>1529</v>
      </c>
      <c r="GQ121">
        <v>1448</v>
      </c>
      <c r="GR121">
        <v>1319</v>
      </c>
      <c r="GS121">
        <v>1046</v>
      </c>
      <c r="GT121">
        <v>920</v>
      </c>
      <c r="GU121">
        <v>702</v>
      </c>
      <c r="GV121">
        <v>579</v>
      </c>
      <c r="GW121">
        <v>427</v>
      </c>
      <c r="GX121">
        <v>336</v>
      </c>
      <c r="GY121">
        <v>189</v>
      </c>
      <c r="GZ121">
        <v>177</v>
      </c>
      <c r="HA121">
        <v>1757</v>
      </c>
      <c r="HB121">
        <v>2383</v>
      </c>
      <c r="HC121">
        <v>2471</v>
      </c>
      <c r="HD121">
        <v>2055</v>
      </c>
      <c r="HE121">
        <v>1797</v>
      </c>
      <c r="HF121">
        <v>1846</v>
      </c>
      <c r="HG121">
        <v>1861</v>
      </c>
      <c r="HH121">
        <v>1778</v>
      </c>
      <c r="HI121">
        <v>1602</v>
      </c>
      <c r="HJ121">
        <v>1397</v>
      </c>
      <c r="HK121">
        <v>1122</v>
      </c>
      <c r="HL121">
        <v>921</v>
      </c>
      <c r="HM121">
        <v>764</v>
      </c>
      <c r="HN121">
        <v>586</v>
      </c>
      <c r="HO121">
        <v>405</v>
      </c>
      <c r="HP121">
        <v>262</v>
      </c>
      <c r="HQ121">
        <v>153</v>
      </c>
      <c r="HR121">
        <v>156</v>
      </c>
      <c r="HS121">
        <v>15604</v>
      </c>
      <c r="HT121">
        <v>3</v>
      </c>
      <c r="HU121">
        <v>8</v>
      </c>
      <c r="HV121">
        <v>0</v>
      </c>
      <c r="HW121">
        <v>11</v>
      </c>
      <c r="HX121">
        <v>0</v>
      </c>
      <c r="HY121">
        <v>3</v>
      </c>
      <c r="HZ121">
        <v>5</v>
      </c>
      <c r="IA121">
        <v>1718</v>
      </c>
      <c r="IB121">
        <v>3151</v>
      </c>
      <c r="IC121">
        <v>3579</v>
      </c>
      <c r="ID121">
        <v>4157</v>
      </c>
      <c r="IE121">
        <v>2705</v>
      </c>
      <c r="IF121">
        <v>1271</v>
      </c>
      <c r="IG121">
        <v>613</v>
      </c>
      <c r="IH121">
        <v>305</v>
      </c>
      <c r="II121">
        <v>388</v>
      </c>
      <c r="IJ121">
        <v>3147</v>
      </c>
      <c r="IK121">
        <v>6297</v>
      </c>
      <c r="IL121">
        <v>5009</v>
      </c>
      <c r="IM121">
        <v>2356</v>
      </c>
      <c r="IN121">
        <v>748</v>
      </c>
      <c r="IO121">
        <v>220</v>
      </c>
      <c r="IP121">
        <v>60</v>
      </c>
      <c r="IQ121">
        <v>17</v>
      </c>
      <c r="IR121">
        <v>11</v>
      </c>
      <c r="IS121">
        <v>8784</v>
      </c>
      <c r="IT121">
        <v>6577</v>
      </c>
      <c r="IU121">
        <v>2090</v>
      </c>
      <c r="IV121">
        <v>333</v>
      </c>
      <c r="IW121">
        <v>81</v>
      </c>
      <c r="IX121">
        <v>7765</v>
      </c>
      <c r="IY121">
        <v>7949</v>
      </c>
      <c r="IZ121">
        <v>47</v>
      </c>
      <c r="JA121">
        <v>119</v>
      </c>
      <c r="JB121">
        <v>102</v>
      </c>
      <c r="JC121">
        <v>288</v>
      </c>
      <c r="JD121">
        <v>17170</v>
      </c>
      <c r="JE121">
        <v>695</v>
      </c>
      <c r="JF121">
        <v>22</v>
      </c>
      <c r="JH121" s="28">
        <v>12706.798150125596</v>
      </c>
      <c r="JI121" s="28">
        <v>1724.3015636751588</v>
      </c>
      <c r="JJ121">
        <v>2774</v>
      </c>
      <c r="JK121">
        <v>13693</v>
      </c>
      <c r="JL121">
        <v>1398</v>
      </c>
      <c r="JM121">
        <v>22</v>
      </c>
      <c r="JN121">
        <v>11697</v>
      </c>
      <c r="JO121">
        <v>8702</v>
      </c>
      <c r="JP121">
        <v>2953</v>
      </c>
      <c r="JQ121">
        <v>10020</v>
      </c>
      <c r="JR121">
        <v>14202</v>
      </c>
      <c r="JS121">
        <v>1436</v>
      </c>
      <c r="JT121">
        <v>857</v>
      </c>
      <c r="JU121">
        <v>11726</v>
      </c>
      <c r="JV121">
        <v>1049</v>
      </c>
      <c r="JW121" s="28"/>
      <c r="JX121" s="28"/>
      <c r="JY121" s="28"/>
      <c r="JZ121" s="28"/>
      <c r="KA121" s="28">
        <v>17594.000028930001</v>
      </c>
      <c r="KB121">
        <v>59180</v>
      </c>
      <c r="KC121">
        <v>17</v>
      </c>
      <c r="KD121">
        <v>25</v>
      </c>
      <c r="KE121">
        <v>0</v>
      </c>
      <c r="KF121">
        <v>31</v>
      </c>
      <c r="KG121">
        <v>0</v>
      </c>
      <c r="KH121">
        <v>7</v>
      </c>
      <c r="KI121">
        <v>23</v>
      </c>
      <c r="KJ121">
        <v>11422</v>
      </c>
      <c r="KK121">
        <v>50933</v>
      </c>
      <c r="KL121">
        <v>4800</v>
      </c>
      <c r="KM121">
        <v>64</v>
      </c>
      <c r="KT121">
        <v>9264</v>
      </c>
      <c r="KU121">
        <v>8856</v>
      </c>
      <c r="KV121">
        <v>7738</v>
      </c>
      <c r="KW121">
        <v>950</v>
      </c>
      <c r="KX121">
        <v>375</v>
      </c>
      <c r="KZ121">
        <v>7342</v>
      </c>
      <c r="LA121">
        <v>900</v>
      </c>
      <c r="LB121">
        <v>374</v>
      </c>
      <c r="LD121">
        <v>5401</v>
      </c>
      <c r="LE121">
        <v>5216</v>
      </c>
      <c r="LF121">
        <v>4431</v>
      </c>
      <c r="LG121">
        <v>5335</v>
      </c>
      <c r="LH121">
        <v>47309</v>
      </c>
      <c r="LI121">
        <v>49</v>
      </c>
      <c r="LJ121">
        <v>3717</v>
      </c>
      <c r="LK121">
        <v>748</v>
      </c>
      <c r="LL121">
        <v>4295</v>
      </c>
      <c r="LM121">
        <v>8</v>
      </c>
      <c r="LN121">
        <v>2854</v>
      </c>
      <c r="LO121">
        <v>1435</v>
      </c>
      <c r="LP121">
        <v>42</v>
      </c>
      <c r="LQ121">
        <v>4075</v>
      </c>
      <c r="LR121">
        <v>717</v>
      </c>
      <c r="LS121">
        <v>5066</v>
      </c>
      <c r="LT121">
        <v>20</v>
      </c>
      <c r="LU121">
        <v>2499</v>
      </c>
      <c r="LV121">
        <v>1031</v>
      </c>
      <c r="LW121" s="44"/>
      <c r="LX121" s="44"/>
      <c r="LY121" s="44"/>
      <c r="LZ121">
        <v>17887</v>
      </c>
      <c r="MA121">
        <v>67219</v>
      </c>
      <c r="MB121">
        <v>65009</v>
      </c>
      <c r="MC121">
        <v>13245</v>
      </c>
      <c r="MD121" s="26">
        <v>20.643007000000001</v>
      </c>
      <c r="ME121" s="26">
        <v>9.9501309999999989</v>
      </c>
      <c r="MF121" s="26">
        <v>56.486080999999999</v>
      </c>
      <c r="MG121" s="26">
        <v>31.834392999999999</v>
      </c>
      <c r="MH121" s="26">
        <v>15.508469999999999</v>
      </c>
      <c r="MI121" s="26">
        <v>3.8855029999999999</v>
      </c>
      <c r="MJ121" s="26">
        <v>4.79678</v>
      </c>
      <c r="MK121" s="26">
        <v>3.8855029999999999</v>
      </c>
      <c r="ML121" s="26">
        <v>1.638061</v>
      </c>
      <c r="MM121" s="26">
        <v>51.350142999999996</v>
      </c>
      <c r="MN121" s="26">
        <v>34.606138999999999</v>
      </c>
      <c r="MO121" s="26">
        <v>0.54300399999999993</v>
      </c>
      <c r="MP121" t="s">
        <v>1029</v>
      </c>
      <c r="MQ121">
        <v>580</v>
      </c>
      <c r="MR121">
        <v>57</v>
      </c>
    </row>
    <row r="122" spans="1:356">
      <c r="A122" t="s">
        <v>179</v>
      </c>
      <c r="B122" t="s">
        <v>180</v>
      </c>
      <c r="C122">
        <v>26706</v>
      </c>
      <c r="D122">
        <v>27899</v>
      </c>
      <c r="E122">
        <v>30297</v>
      </c>
      <c r="F122">
        <f t="shared" si="6"/>
        <v>2398</v>
      </c>
      <c r="G122" s="26">
        <f t="shared" si="7"/>
        <v>8.5952901537689428</v>
      </c>
      <c r="H122">
        <v>15578</v>
      </c>
      <c r="I122">
        <v>14719</v>
      </c>
      <c r="J122">
        <v>8222</v>
      </c>
      <c r="K122">
        <v>22075</v>
      </c>
      <c r="L122">
        <v>1457</v>
      </c>
      <c r="M122">
        <v>1591</v>
      </c>
      <c r="N122">
        <v>1520</v>
      </c>
      <c r="O122">
        <v>1315</v>
      </c>
      <c r="P122">
        <v>1087</v>
      </c>
      <c r="Q122">
        <v>1228</v>
      </c>
      <c r="R122">
        <v>1163</v>
      </c>
      <c r="S122">
        <v>1098</v>
      </c>
      <c r="T122">
        <v>972</v>
      </c>
      <c r="U122">
        <v>854</v>
      </c>
      <c r="V122">
        <v>799</v>
      </c>
      <c r="W122">
        <v>618</v>
      </c>
      <c r="X122">
        <v>521</v>
      </c>
      <c r="Y122">
        <v>1354</v>
      </c>
      <c r="Z122">
        <v>1</v>
      </c>
      <c r="AA122">
        <v>1414</v>
      </c>
      <c r="AB122">
        <v>1640</v>
      </c>
      <c r="AC122">
        <v>1426</v>
      </c>
      <c r="AD122">
        <v>1330</v>
      </c>
      <c r="AE122">
        <v>1140</v>
      </c>
      <c r="AF122">
        <v>1124</v>
      </c>
      <c r="AG122">
        <v>1088</v>
      </c>
      <c r="AH122">
        <v>968</v>
      </c>
      <c r="AI122">
        <v>831</v>
      </c>
      <c r="AJ122">
        <v>803</v>
      </c>
      <c r="AK122">
        <v>766</v>
      </c>
      <c r="AL122">
        <v>536</v>
      </c>
      <c r="AM122">
        <v>471</v>
      </c>
      <c r="AN122">
        <v>1181</v>
      </c>
      <c r="AO122">
        <v>1</v>
      </c>
      <c r="AP122">
        <v>28148</v>
      </c>
      <c r="AQ122">
        <v>1844</v>
      </c>
      <c r="AR122">
        <v>78</v>
      </c>
      <c r="AS122">
        <v>214</v>
      </c>
      <c r="AT122">
        <v>13</v>
      </c>
      <c r="AU122">
        <v>191</v>
      </c>
      <c r="AV122">
        <v>130</v>
      </c>
      <c r="AW122">
        <v>61</v>
      </c>
      <c r="AX122">
        <v>195</v>
      </c>
      <c r="AY122">
        <v>179</v>
      </c>
      <c r="AZ122">
        <v>160</v>
      </c>
      <c r="BA122">
        <v>19</v>
      </c>
      <c r="BB122">
        <v>0</v>
      </c>
      <c r="BC122">
        <v>1</v>
      </c>
      <c r="BD122">
        <v>5</v>
      </c>
      <c r="BE122">
        <v>6</v>
      </c>
      <c r="BF122">
        <v>7</v>
      </c>
      <c r="BG122">
        <v>3</v>
      </c>
      <c r="BH122">
        <v>9</v>
      </c>
      <c r="BI122">
        <v>3</v>
      </c>
      <c r="BJ122">
        <v>9</v>
      </c>
      <c r="BK122">
        <v>4</v>
      </c>
      <c r="BL122">
        <v>9</v>
      </c>
      <c r="BM122">
        <v>4</v>
      </c>
      <c r="BN122">
        <v>17</v>
      </c>
      <c r="BO122">
        <v>7</v>
      </c>
      <c r="BP122">
        <v>9</v>
      </c>
      <c r="BQ122">
        <v>3</v>
      </c>
      <c r="BR122">
        <v>10</v>
      </c>
      <c r="BS122">
        <v>8</v>
      </c>
      <c r="BT122">
        <v>13</v>
      </c>
      <c r="BU122">
        <v>7</v>
      </c>
      <c r="BV122">
        <v>10</v>
      </c>
      <c r="BW122">
        <v>2</v>
      </c>
      <c r="BX122">
        <v>5</v>
      </c>
      <c r="BY122">
        <v>1</v>
      </c>
      <c r="BZ122">
        <v>5</v>
      </c>
      <c r="CA122">
        <v>1</v>
      </c>
      <c r="CB122">
        <v>22</v>
      </c>
      <c r="CC122">
        <v>11</v>
      </c>
      <c r="CD122">
        <v>79</v>
      </c>
      <c r="CE122">
        <v>59</v>
      </c>
      <c r="CF122">
        <v>3</v>
      </c>
      <c r="CG122">
        <v>1</v>
      </c>
      <c r="CH122">
        <v>5300</v>
      </c>
      <c r="CI122">
        <v>2379</v>
      </c>
      <c r="CJ122">
        <v>20712</v>
      </c>
      <c r="CK122">
        <v>8387</v>
      </c>
      <c r="CL122">
        <v>874</v>
      </c>
      <c r="CM122">
        <v>1285</v>
      </c>
      <c r="CN122">
        <v>1517</v>
      </c>
      <c r="CO122">
        <v>1555</v>
      </c>
      <c r="CP122">
        <v>1156</v>
      </c>
      <c r="CQ122">
        <v>1292</v>
      </c>
      <c r="CR122">
        <v>5159</v>
      </c>
      <c r="CS122">
        <v>11688</v>
      </c>
      <c r="CT122">
        <v>2582</v>
      </c>
      <c r="CU122">
        <v>705</v>
      </c>
      <c r="CV122">
        <v>323</v>
      </c>
      <c r="CW122">
        <v>851</v>
      </c>
      <c r="CX122">
        <v>111</v>
      </c>
      <c r="CY122">
        <v>4654</v>
      </c>
      <c r="CZ122">
        <v>2070</v>
      </c>
      <c r="DA122">
        <v>62</v>
      </c>
      <c r="DB122">
        <v>874</v>
      </c>
      <c r="DC122">
        <v>18</v>
      </c>
      <c r="DD122">
        <v>1857</v>
      </c>
      <c r="DE122">
        <v>3402</v>
      </c>
      <c r="DF122">
        <v>5937</v>
      </c>
      <c r="DG122">
        <v>10879</v>
      </c>
      <c r="DH122">
        <v>0</v>
      </c>
      <c r="DI122">
        <v>8222</v>
      </c>
      <c r="DJ122">
        <v>0</v>
      </c>
      <c r="DK122">
        <v>0</v>
      </c>
      <c r="DL122">
        <v>0</v>
      </c>
      <c r="DM122">
        <v>86</v>
      </c>
      <c r="DN122">
        <v>22</v>
      </c>
      <c r="DO122">
        <v>17</v>
      </c>
      <c r="DP122">
        <v>12</v>
      </c>
      <c r="DQ122">
        <v>0</v>
      </c>
      <c r="DR122">
        <v>1</v>
      </c>
      <c r="DS122">
        <v>0</v>
      </c>
      <c r="DT122">
        <v>0</v>
      </c>
      <c r="DU122">
        <v>0</v>
      </c>
      <c r="DV122">
        <v>810</v>
      </c>
      <c r="DW122">
        <v>864</v>
      </c>
      <c r="DX122">
        <v>1822</v>
      </c>
      <c r="DY122">
        <v>1444</v>
      </c>
      <c r="DZ122">
        <v>526</v>
      </c>
      <c r="EA122">
        <v>432</v>
      </c>
      <c r="EB122">
        <v>300</v>
      </c>
      <c r="EC122">
        <v>217</v>
      </c>
      <c r="ED122">
        <v>261</v>
      </c>
      <c r="EE122">
        <v>210</v>
      </c>
      <c r="EF122">
        <v>386</v>
      </c>
      <c r="EG122">
        <v>398</v>
      </c>
      <c r="EH122">
        <v>166</v>
      </c>
      <c r="EI122">
        <v>148</v>
      </c>
      <c r="EJ122">
        <v>924</v>
      </c>
      <c r="EK122">
        <v>1571</v>
      </c>
      <c r="EL122">
        <v>550</v>
      </c>
      <c r="EM122">
        <v>311</v>
      </c>
      <c r="EN122">
        <v>284</v>
      </c>
      <c r="EO122">
        <v>486</v>
      </c>
      <c r="EP122">
        <v>185</v>
      </c>
      <c r="EQ122">
        <v>8579</v>
      </c>
      <c r="ER122">
        <v>8516</v>
      </c>
      <c r="ES122">
        <v>63</v>
      </c>
      <c r="ET122">
        <v>3263</v>
      </c>
      <c r="EU122">
        <v>4447</v>
      </c>
      <c r="EV122">
        <v>4418</v>
      </c>
      <c r="EW122">
        <v>29</v>
      </c>
      <c r="EX122">
        <v>6573</v>
      </c>
      <c r="EY122" s="26">
        <v>41.320157000000002</v>
      </c>
      <c r="EZ122" s="26">
        <v>12.390453000000001</v>
      </c>
      <c r="FA122" s="26">
        <v>15.821369000000001</v>
      </c>
      <c r="FB122" s="26">
        <v>29.964572</v>
      </c>
      <c r="FC122" s="26">
        <v>0.50344999999999995</v>
      </c>
      <c r="FD122">
        <v>1612</v>
      </c>
      <c r="FE122">
        <v>4336</v>
      </c>
      <c r="FF122">
        <v>536</v>
      </c>
      <c r="FG122">
        <v>2810</v>
      </c>
      <c r="FH122">
        <v>11</v>
      </c>
      <c r="FI122">
        <v>2553</v>
      </c>
      <c r="FJ122">
        <v>1165</v>
      </c>
      <c r="FK122" s="26" t="s">
        <v>359</v>
      </c>
      <c r="FL122" s="26" t="s">
        <v>359</v>
      </c>
      <c r="FM122" s="26" t="s">
        <v>359</v>
      </c>
      <c r="FN122" s="26" t="s">
        <v>359</v>
      </c>
      <c r="FO122" s="28">
        <v>8013</v>
      </c>
      <c r="FP122" s="28">
        <v>7556</v>
      </c>
      <c r="FQ122">
        <v>1193</v>
      </c>
      <c r="FR122">
        <v>300</v>
      </c>
      <c r="FS122">
        <v>94</v>
      </c>
      <c r="FT122">
        <v>50</v>
      </c>
      <c r="FU122">
        <v>6172</v>
      </c>
      <c r="FV122">
        <v>36</v>
      </c>
      <c r="FW122">
        <v>31</v>
      </c>
      <c r="FX122">
        <v>9</v>
      </c>
      <c r="FY122">
        <v>8853</v>
      </c>
      <c r="FZ122">
        <v>5859</v>
      </c>
      <c r="GA122">
        <v>1236</v>
      </c>
      <c r="GB122">
        <v>356</v>
      </c>
      <c r="GC122">
        <v>106</v>
      </c>
      <c r="GD122">
        <v>58</v>
      </c>
      <c r="GE122">
        <v>6897</v>
      </c>
      <c r="GF122">
        <v>36</v>
      </c>
      <c r="GG122">
        <v>30</v>
      </c>
      <c r="GH122">
        <v>7</v>
      </c>
      <c r="GI122">
        <v>758</v>
      </c>
      <c r="GJ122">
        <v>973</v>
      </c>
      <c r="GK122">
        <v>954</v>
      </c>
      <c r="GL122">
        <v>791</v>
      </c>
      <c r="GM122">
        <v>468</v>
      </c>
      <c r="GN122">
        <v>540</v>
      </c>
      <c r="GO122">
        <v>480</v>
      </c>
      <c r="GP122">
        <v>488</v>
      </c>
      <c r="GQ122">
        <v>468</v>
      </c>
      <c r="GR122">
        <v>386</v>
      </c>
      <c r="GS122">
        <v>401</v>
      </c>
      <c r="GT122">
        <v>307</v>
      </c>
      <c r="GU122">
        <v>279</v>
      </c>
      <c r="GV122">
        <v>216</v>
      </c>
      <c r="GW122">
        <v>187</v>
      </c>
      <c r="GX122">
        <v>129</v>
      </c>
      <c r="GY122">
        <v>93</v>
      </c>
      <c r="GZ122">
        <v>95</v>
      </c>
      <c r="HA122">
        <v>757</v>
      </c>
      <c r="HB122">
        <v>1026</v>
      </c>
      <c r="HC122">
        <v>870</v>
      </c>
      <c r="HD122">
        <v>808</v>
      </c>
      <c r="HE122">
        <v>672</v>
      </c>
      <c r="HF122">
        <v>678</v>
      </c>
      <c r="HG122">
        <v>653</v>
      </c>
      <c r="HH122">
        <v>617</v>
      </c>
      <c r="HI122">
        <v>512</v>
      </c>
      <c r="HJ122">
        <v>509</v>
      </c>
      <c r="HK122">
        <v>445</v>
      </c>
      <c r="HL122">
        <v>337</v>
      </c>
      <c r="HM122">
        <v>270</v>
      </c>
      <c r="HN122">
        <v>233</v>
      </c>
      <c r="HO122">
        <v>169</v>
      </c>
      <c r="HP122">
        <v>143</v>
      </c>
      <c r="HQ122">
        <v>83</v>
      </c>
      <c r="HR122">
        <v>71</v>
      </c>
      <c r="HS122">
        <v>6451</v>
      </c>
      <c r="HT122">
        <v>1</v>
      </c>
      <c r="HU122">
        <v>30</v>
      </c>
      <c r="HV122">
        <v>0</v>
      </c>
      <c r="HW122">
        <v>6</v>
      </c>
      <c r="HX122">
        <v>0</v>
      </c>
      <c r="HY122">
        <v>28</v>
      </c>
      <c r="HZ122">
        <v>0</v>
      </c>
      <c r="IA122">
        <v>866</v>
      </c>
      <c r="IB122">
        <v>1281</v>
      </c>
      <c r="IC122">
        <v>1509</v>
      </c>
      <c r="ID122">
        <v>1546</v>
      </c>
      <c r="IE122">
        <v>1154</v>
      </c>
      <c r="IF122">
        <v>632</v>
      </c>
      <c r="IG122">
        <v>328</v>
      </c>
      <c r="IH122">
        <v>174</v>
      </c>
      <c r="II122">
        <v>155</v>
      </c>
      <c r="IJ122">
        <v>1222</v>
      </c>
      <c r="IK122">
        <v>2319</v>
      </c>
      <c r="IL122">
        <v>2105</v>
      </c>
      <c r="IM122">
        <v>1255</v>
      </c>
      <c r="IN122">
        <v>515</v>
      </c>
      <c r="IO122">
        <v>164</v>
      </c>
      <c r="IP122">
        <v>38</v>
      </c>
      <c r="IQ122">
        <v>17</v>
      </c>
      <c r="IR122">
        <v>9</v>
      </c>
      <c r="IS122">
        <v>3866</v>
      </c>
      <c r="IT122">
        <v>2665</v>
      </c>
      <c r="IU122">
        <v>884</v>
      </c>
      <c r="IV122">
        <v>205</v>
      </c>
      <c r="IW122">
        <v>24</v>
      </c>
      <c r="IX122">
        <v>2803</v>
      </c>
      <c r="IY122">
        <v>696</v>
      </c>
      <c r="IZ122">
        <v>0</v>
      </c>
      <c r="JA122">
        <v>134</v>
      </c>
      <c r="JB122">
        <v>5</v>
      </c>
      <c r="JC122">
        <v>308</v>
      </c>
      <c r="JD122">
        <v>7350</v>
      </c>
      <c r="JE122">
        <v>294</v>
      </c>
      <c r="JF122">
        <v>1</v>
      </c>
      <c r="JH122" s="28">
        <v>5903.3462319313467</v>
      </c>
      <c r="JI122" s="28">
        <v>673.89689046073613</v>
      </c>
      <c r="JJ122">
        <v>635</v>
      </c>
      <c r="JK122">
        <v>6691</v>
      </c>
      <c r="JL122">
        <v>318</v>
      </c>
      <c r="JM122">
        <v>1</v>
      </c>
      <c r="JN122">
        <v>5637</v>
      </c>
      <c r="JO122">
        <v>3975</v>
      </c>
      <c r="JP122">
        <v>1321</v>
      </c>
      <c r="JQ122">
        <v>4527</v>
      </c>
      <c r="JR122">
        <v>6021</v>
      </c>
      <c r="JS122">
        <v>515</v>
      </c>
      <c r="JT122">
        <v>843</v>
      </c>
      <c r="JU122">
        <v>5482</v>
      </c>
      <c r="JV122">
        <v>1290</v>
      </c>
      <c r="JW122" s="28"/>
      <c r="JX122" s="28"/>
      <c r="JY122" s="28"/>
      <c r="JZ122" s="28"/>
      <c r="KA122" s="28">
        <v>7539.0000108499999</v>
      </c>
      <c r="KB122">
        <v>24868</v>
      </c>
      <c r="KC122">
        <v>2</v>
      </c>
      <c r="KD122">
        <v>93</v>
      </c>
      <c r="KE122">
        <v>0</v>
      </c>
      <c r="KF122">
        <v>17</v>
      </c>
      <c r="KG122">
        <v>0</v>
      </c>
      <c r="KH122">
        <v>90</v>
      </c>
      <c r="KI122">
        <v>0</v>
      </c>
      <c r="KJ122">
        <v>2589</v>
      </c>
      <c r="KK122">
        <v>25235</v>
      </c>
      <c r="KL122">
        <v>1166</v>
      </c>
      <c r="KM122">
        <v>2</v>
      </c>
      <c r="KT122">
        <v>4102</v>
      </c>
      <c r="KU122">
        <v>4033</v>
      </c>
      <c r="KV122">
        <v>3382</v>
      </c>
      <c r="KW122">
        <v>471</v>
      </c>
      <c r="KX122">
        <v>166</v>
      </c>
      <c r="KZ122">
        <v>3310</v>
      </c>
      <c r="LA122">
        <v>464</v>
      </c>
      <c r="LB122">
        <v>163</v>
      </c>
      <c r="LD122">
        <v>2296</v>
      </c>
      <c r="LE122">
        <v>2241</v>
      </c>
      <c r="LF122">
        <v>1111</v>
      </c>
      <c r="LG122">
        <v>1491</v>
      </c>
      <c r="LH122">
        <v>21247</v>
      </c>
      <c r="LI122">
        <v>42</v>
      </c>
      <c r="LJ122">
        <v>1832</v>
      </c>
      <c r="LK122">
        <v>425</v>
      </c>
      <c r="LL122">
        <v>2540</v>
      </c>
      <c r="LM122">
        <v>5</v>
      </c>
      <c r="LN122">
        <v>1623</v>
      </c>
      <c r="LO122">
        <v>478</v>
      </c>
      <c r="LP122">
        <v>44</v>
      </c>
      <c r="LQ122">
        <v>1658</v>
      </c>
      <c r="LR122">
        <v>326</v>
      </c>
      <c r="LS122">
        <v>2308</v>
      </c>
      <c r="LT122">
        <v>7</v>
      </c>
      <c r="LU122">
        <v>1514</v>
      </c>
      <c r="LV122">
        <v>357</v>
      </c>
      <c r="LW122" s="44"/>
      <c r="LX122" s="44"/>
      <c r="LY122" s="44"/>
      <c r="LZ122">
        <v>7645</v>
      </c>
      <c r="MA122">
        <v>28992</v>
      </c>
      <c r="MB122">
        <v>28961</v>
      </c>
      <c r="MC122">
        <v>35</v>
      </c>
      <c r="MD122" s="26">
        <v>12.246435</v>
      </c>
      <c r="ME122" s="26">
        <v>9.8244980000000002</v>
      </c>
      <c r="MF122" s="26">
        <v>49.465806999999998</v>
      </c>
      <c r="MG122" s="26">
        <v>44.278310999999995</v>
      </c>
      <c r="MH122" s="26">
        <v>8.306082</v>
      </c>
      <c r="MI122" s="26">
        <v>3.53172</v>
      </c>
      <c r="MJ122" s="26">
        <v>13.342053999999999</v>
      </c>
      <c r="MK122" s="26">
        <v>3.8456509999999997</v>
      </c>
      <c r="ML122" s="26">
        <v>1.3865269999999998</v>
      </c>
      <c r="MM122" s="26">
        <v>48.005231999999999</v>
      </c>
      <c r="MN122" s="26">
        <v>26.265532999999998</v>
      </c>
      <c r="MO122" s="26">
        <v>8.3612999999999993E-2</v>
      </c>
      <c r="MP122" t="s">
        <v>1027</v>
      </c>
      <c r="MQ122">
        <v>942</v>
      </c>
      <c r="MR122">
        <v>84</v>
      </c>
    </row>
    <row r="123" spans="1:356">
      <c r="A123" t="s">
        <v>249</v>
      </c>
      <c r="B123" t="s">
        <v>250</v>
      </c>
      <c r="C123">
        <v>68685</v>
      </c>
      <c r="D123">
        <v>74477</v>
      </c>
      <c r="E123">
        <v>65643</v>
      </c>
      <c r="F123">
        <f t="shared" si="6"/>
        <v>-8834</v>
      </c>
      <c r="G123" s="26">
        <f t="shared" si="7"/>
        <v>-11.861380023362926</v>
      </c>
      <c r="H123">
        <v>32345</v>
      </c>
      <c r="I123">
        <v>33298</v>
      </c>
      <c r="J123">
        <v>39578</v>
      </c>
      <c r="K123">
        <v>26065</v>
      </c>
      <c r="L123">
        <v>3518</v>
      </c>
      <c r="M123">
        <v>3465</v>
      </c>
      <c r="N123">
        <v>3177</v>
      </c>
      <c r="O123">
        <v>2904</v>
      </c>
      <c r="P123">
        <v>2591</v>
      </c>
      <c r="Q123">
        <v>2345</v>
      </c>
      <c r="R123">
        <v>2082</v>
      </c>
      <c r="S123">
        <v>1963</v>
      </c>
      <c r="T123">
        <v>1899</v>
      </c>
      <c r="U123">
        <v>1716</v>
      </c>
      <c r="V123">
        <v>1636</v>
      </c>
      <c r="W123">
        <v>1370</v>
      </c>
      <c r="X123">
        <v>1143</v>
      </c>
      <c r="Y123">
        <v>2529</v>
      </c>
      <c r="Z123">
        <v>7</v>
      </c>
      <c r="AA123">
        <v>3402</v>
      </c>
      <c r="AB123">
        <v>3383</v>
      </c>
      <c r="AC123">
        <v>3184</v>
      </c>
      <c r="AD123">
        <v>2832</v>
      </c>
      <c r="AE123">
        <v>2814</v>
      </c>
      <c r="AF123">
        <v>2574</v>
      </c>
      <c r="AG123">
        <v>2380</v>
      </c>
      <c r="AH123">
        <v>2331</v>
      </c>
      <c r="AI123">
        <v>2110</v>
      </c>
      <c r="AJ123">
        <v>1874</v>
      </c>
      <c r="AK123">
        <v>1626</v>
      </c>
      <c r="AL123">
        <v>1360</v>
      </c>
      <c r="AM123">
        <v>1051</v>
      </c>
      <c r="AN123">
        <v>2370</v>
      </c>
      <c r="AO123">
        <v>7</v>
      </c>
      <c r="AP123">
        <v>64795</v>
      </c>
      <c r="AQ123">
        <v>640</v>
      </c>
      <c r="AR123">
        <v>119</v>
      </c>
      <c r="AS123">
        <v>57</v>
      </c>
      <c r="AT123">
        <v>32</v>
      </c>
      <c r="AU123">
        <v>5418</v>
      </c>
      <c r="AV123">
        <v>2761</v>
      </c>
      <c r="AW123">
        <v>2657</v>
      </c>
      <c r="AX123">
        <v>3317</v>
      </c>
      <c r="AY123">
        <v>4274</v>
      </c>
      <c r="AZ123">
        <v>4035</v>
      </c>
      <c r="BA123">
        <v>239</v>
      </c>
      <c r="BB123">
        <v>185</v>
      </c>
      <c r="BC123">
        <v>196</v>
      </c>
      <c r="BD123">
        <v>444</v>
      </c>
      <c r="BE123">
        <v>439</v>
      </c>
      <c r="BF123">
        <v>388</v>
      </c>
      <c r="BG123">
        <v>381</v>
      </c>
      <c r="BH123">
        <v>352</v>
      </c>
      <c r="BI123">
        <v>333</v>
      </c>
      <c r="BJ123">
        <v>294</v>
      </c>
      <c r="BK123">
        <v>317</v>
      </c>
      <c r="BL123">
        <v>229</v>
      </c>
      <c r="BM123">
        <v>225</v>
      </c>
      <c r="BN123">
        <v>156</v>
      </c>
      <c r="BO123">
        <v>161</v>
      </c>
      <c r="BP123">
        <v>158</v>
      </c>
      <c r="BQ123">
        <v>152</v>
      </c>
      <c r="BR123">
        <v>130</v>
      </c>
      <c r="BS123">
        <v>123</v>
      </c>
      <c r="BT123">
        <v>104</v>
      </c>
      <c r="BU123">
        <v>98</v>
      </c>
      <c r="BV123">
        <v>76</v>
      </c>
      <c r="BW123">
        <v>63</v>
      </c>
      <c r="BX123">
        <v>70</v>
      </c>
      <c r="BY123">
        <v>54</v>
      </c>
      <c r="BZ123">
        <v>61</v>
      </c>
      <c r="CA123">
        <v>43</v>
      </c>
      <c r="CB123">
        <v>114</v>
      </c>
      <c r="CC123">
        <v>72</v>
      </c>
      <c r="CD123">
        <v>2473</v>
      </c>
      <c r="CE123">
        <v>2190</v>
      </c>
      <c r="CF123">
        <v>281</v>
      </c>
      <c r="CG123">
        <v>460</v>
      </c>
      <c r="CH123">
        <v>12425</v>
      </c>
      <c r="CI123">
        <v>4395</v>
      </c>
      <c r="CJ123">
        <v>50177</v>
      </c>
      <c r="CK123">
        <v>15451</v>
      </c>
      <c r="CL123">
        <v>1521</v>
      </c>
      <c r="CM123">
        <v>2833</v>
      </c>
      <c r="CN123">
        <v>3211</v>
      </c>
      <c r="CO123">
        <v>3757</v>
      </c>
      <c r="CP123">
        <v>2635</v>
      </c>
      <c r="CQ123">
        <v>2863</v>
      </c>
      <c r="CR123">
        <v>12249</v>
      </c>
      <c r="CS123">
        <v>26802</v>
      </c>
      <c r="CT123">
        <v>5719</v>
      </c>
      <c r="CU123">
        <v>1832</v>
      </c>
      <c r="CV123">
        <v>452</v>
      </c>
      <c r="CW123">
        <v>1627</v>
      </c>
      <c r="CX123">
        <v>116</v>
      </c>
      <c r="CY123">
        <v>10823</v>
      </c>
      <c r="CZ123">
        <v>4391</v>
      </c>
      <c r="DA123">
        <v>64</v>
      </c>
      <c r="DB123">
        <v>1521</v>
      </c>
      <c r="DC123">
        <v>18</v>
      </c>
      <c r="DD123">
        <v>10411</v>
      </c>
      <c r="DE123">
        <v>3642</v>
      </c>
      <c r="DF123">
        <v>5592</v>
      </c>
      <c r="DG123">
        <v>6420</v>
      </c>
      <c r="DH123">
        <v>9430</v>
      </c>
      <c r="DI123">
        <v>18592</v>
      </c>
      <c r="DJ123">
        <v>11556</v>
      </c>
      <c r="DK123">
        <v>0</v>
      </c>
      <c r="DL123">
        <v>0</v>
      </c>
      <c r="DM123">
        <v>1199</v>
      </c>
      <c r="DN123">
        <v>22</v>
      </c>
      <c r="DO123">
        <v>17</v>
      </c>
      <c r="DP123">
        <v>6</v>
      </c>
      <c r="DQ123">
        <v>3</v>
      </c>
      <c r="DR123">
        <v>2</v>
      </c>
      <c r="DS123">
        <v>1</v>
      </c>
      <c r="DT123">
        <v>0</v>
      </c>
      <c r="DU123">
        <v>0</v>
      </c>
      <c r="DV123">
        <v>2013</v>
      </c>
      <c r="DW123">
        <v>2162</v>
      </c>
      <c r="DX123">
        <v>2765</v>
      </c>
      <c r="DY123">
        <v>2973</v>
      </c>
      <c r="DZ123">
        <v>1200</v>
      </c>
      <c r="EA123">
        <v>1050</v>
      </c>
      <c r="EB123">
        <v>570</v>
      </c>
      <c r="EC123">
        <v>463</v>
      </c>
      <c r="ED123">
        <v>460</v>
      </c>
      <c r="EE123">
        <v>464</v>
      </c>
      <c r="EF123">
        <v>854</v>
      </c>
      <c r="EG123">
        <v>916</v>
      </c>
      <c r="EH123">
        <v>337</v>
      </c>
      <c r="EI123">
        <v>346</v>
      </c>
      <c r="EJ123">
        <v>2462</v>
      </c>
      <c r="EK123">
        <v>3292</v>
      </c>
      <c r="EL123">
        <v>1337</v>
      </c>
      <c r="EM123">
        <v>569</v>
      </c>
      <c r="EN123">
        <v>551</v>
      </c>
      <c r="EO123">
        <v>1048</v>
      </c>
      <c r="EP123">
        <v>378</v>
      </c>
      <c r="EQ123">
        <v>19778</v>
      </c>
      <c r="ER123">
        <v>19535</v>
      </c>
      <c r="ES123">
        <v>243</v>
      </c>
      <c r="ET123">
        <v>4116</v>
      </c>
      <c r="EU123">
        <v>11217</v>
      </c>
      <c r="EV123">
        <v>11126</v>
      </c>
      <c r="EW123">
        <v>91</v>
      </c>
      <c r="EX123">
        <v>13903</v>
      </c>
      <c r="EY123" s="26">
        <v>44.908127999999998</v>
      </c>
      <c r="EZ123" s="26">
        <v>12.644036</v>
      </c>
      <c r="FA123" s="26">
        <v>14.321306</v>
      </c>
      <c r="FB123" s="26">
        <v>27.815100000000001</v>
      </c>
      <c r="FC123" s="26">
        <v>0.31142900000000001</v>
      </c>
      <c r="FD123">
        <v>4750</v>
      </c>
      <c r="FE123">
        <v>9176</v>
      </c>
      <c r="FF123">
        <v>1057</v>
      </c>
      <c r="FG123">
        <v>6751</v>
      </c>
      <c r="FH123">
        <v>28</v>
      </c>
      <c r="FI123">
        <v>5178</v>
      </c>
      <c r="FJ123">
        <v>4041</v>
      </c>
      <c r="FK123" s="26" t="s">
        <v>359</v>
      </c>
      <c r="FL123" s="26" t="s">
        <v>359</v>
      </c>
      <c r="FM123" s="26" t="s">
        <v>359</v>
      </c>
      <c r="FN123" s="26" t="s">
        <v>359</v>
      </c>
      <c r="FO123" s="28">
        <v>18133</v>
      </c>
      <c r="FP123" s="28">
        <v>14195</v>
      </c>
      <c r="FQ123">
        <v>1154</v>
      </c>
      <c r="FR123">
        <v>1286</v>
      </c>
      <c r="FS123">
        <v>274</v>
      </c>
      <c r="FT123">
        <v>46</v>
      </c>
      <c r="FU123">
        <v>13662</v>
      </c>
      <c r="FV123">
        <v>47</v>
      </c>
      <c r="FW123">
        <v>61</v>
      </c>
      <c r="FX123">
        <v>17</v>
      </c>
      <c r="FY123">
        <v>19613</v>
      </c>
      <c r="FZ123">
        <v>13669</v>
      </c>
      <c r="GA123">
        <v>1077</v>
      </c>
      <c r="GB123">
        <v>1415</v>
      </c>
      <c r="GC123">
        <v>284</v>
      </c>
      <c r="GD123">
        <v>40</v>
      </c>
      <c r="GE123">
        <v>14991</v>
      </c>
      <c r="GF123">
        <v>34</v>
      </c>
      <c r="GG123">
        <v>72</v>
      </c>
      <c r="GH123">
        <v>16</v>
      </c>
      <c r="GI123">
        <v>1858</v>
      </c>
      <c r="GJ123">
        <v>2129</v>
      </c>
      <c r="GK123">
        <v>1991</v>
      </c>
      <c r="GL123">
        <v>1738</v>
      </c>
      <c r="GM123">
        <v>1305</v>
      </c>
      <c r="GN123">
        <v>1209</v>
      </c>
      <c r="GO123">
        <v>1106</v>
      </c>
      <c r="GP123">
        <v>1128</v>
      </c>
      <c r="GQ123">
        <v>1086</v>
      </c>
      <c r="GR123">
        <v>904</v>
      </c>
      <c r="GS123">
        <v>866</v>
      </c>
      <c r="GT123">
        <v>757</v>
      </c>
      <c r="GU123">
        <v>589</v>
      </c>
      <c r="GV123">
        <v>481</v>
      </c>
      <c r="GW123">
        <v>409</v>
      </c>
      <c r="GX123">
        <v>305</v>
      </c>
      <c r="GY123">
        <v>149</v>
      </c>
      <c r="GZ123">
        <v>123</v>
      </c>
      <c r="HA123">
        <v>1910</v>
      </c>
      <c r="HB123">
        <v>2060</v>
      </c>
      <c r="HC123">
        <v>1973</v>
      </c>
      <c r="HD123">
        <v>1641</v>
      </c>
      <c r="HE123">
        <v>1521</v>
      </c>
      <c r="HF123">
        <v>1481</v>
      </c>
      <c r="HG123">
        <v>1456</v>
      </c>
      <c r="HH123">
        <v>1466</v>
      </c>
      <c r="HI123">
        <v>1313</v>
      </c>
      <c r="HJ123">
        <v>1085</v>
      </c>
      <c r="HK123">
        <v>923</v>
      </c>
      <c r="HL123">
        <v>783</v>
      </c>
      <c r="HM123">
        <v>579</v>
      </c>
      <c r="HN123">
        <v>522</v>
      </c>
      <c r="HO123">
        <v>357</v>
      </c>
      <c r="HP123">
        <v>257</v>
      </c>
      <c r="HQ123">
        <v>143</v>
      </c>
      <c r="HR123">
        <v>143</v>
      </c>
      <c r="HS123">
        <v>14289</v>
      </c>
      <c r="HT123">
        <v>3</v>
      </c>
      <c r="HU123">
        <v>57</v>
      </c>
      <c r="HV123">
        <v>0</v>
      </c>
      <c r="HW123">
        <v>58</v>
      </c>
      <c r="HX123">
        <v>1</v>
      </c>
      <c r="HY123">
        <v>15</v>
      </c>
      <c r="HZ123">
        <v>4</v>
      </c>
      <c r="IA123">
        <v>1511</v>
      </c>
      <c r="IB123">
        <v>2819</v>
      </c>
      <c r="IC123">
        <v>3196</v>
      </c>
      <c r="ID123">
        <v>3738</v>
      </c>
      <c r="IE123">
        <v>2628</v>
      </c>
      <c r="IF123">
        <v>1355</v>
      </c>
      <c r="IG123">
        <v>665</v>
      </c>
      <c r="IH123">
        <v>369</v>
      </c>
      <c r="II123">
        <v>465</v>
      </c>
      <c r="IJ123">
        <v>3622</v>
      </c>
      <c r="IK123">
        <v>5090</v>
      </c>
      <c r="IL123">
        <v>4378</v>
      </c>
      <c r="IM123">
        <v>2314</v>
      </c>
      <c r="IN123">
        <v>914</v>
      </c>
      <c r="IO123">
        <v>294</v>
      </c>
      <c r="IP123">
        <v>87</v>
      </c>
      <c r="IQ123">
        <v>22</v>
      </c>
      <c r="IR123">
        <v>22</v>
      </c>
      <c r="IS123">
        <v>8670</v>
      </c>
      <c r="IT123">
        <v>5668</v>
      </c>
      <c r="IU123">
        <v>1940</v>
      </c>
      <c r="IV123">
        <v>361</v>
      </c>
      <c r="IW123">
        <v>104</v>
      </c>
      <c r="IX123">
        <v>6085</v>
      </c>
      <c r="IY123">
        <v>3441</v>
      </c>
      <c r="IZ123">
        <v>10</v>
      </c>
      <c r="JA123">
        <v>200</v>
      </c>
      <c r="JB123">
        <v>265</v>
      </c>
      <c r="JC123">
        <v>1583</v>
      </c>
      <c r="JD123">
        <v>15813</v>
      </c>
      <c r="JE123">
        <v>930</v>
      </c>
      <c r="JF123">
        <v>3</v>
      </c>
      <c r="JH123" s="28">
        <v>15883.449651892332</v>
      </c>
      <c r="JI123" s="28">
        <v>2083.4368106141642</v>
      </c>
      <c r="JJ123">
        <v>1308</v>
      </c>
      <c r="JK123">
        <v>14542</v>
      </c>
      <c r="JL123">
        <v>893</v>
      </c>
      <c r="JM123">
        <v>3</v>
      </c>
      <c r="JN123">
        <v>12528</v>
      </c>
      <c r="JO123">
        <v>9213</v>
      </c>
      <c r="JP123">
        <v>3686</v>
      </c>
      <c r="JQ123">
        <v>10254</v>
      </c>
      <c r="JR123">
        <v>13951</v>
      </c>
      <c r="JS123">
        <v>1953</v>
      </c>
      <c r="JT123">
        <v>2002</v>
      </c>
      <c r="JU123">
        <v>12335</v>
      </c>
      <c r="JV123">
        <v>3629</v>
      </c>
      <c r="JW123" s="28"/>
      <c r="JX123" s="28"/>
      <c r="JY123" s="28"/>
      <c r="JZ123" s="28"/>
      <c r="KA123" s="28">
        <v>16042.00000206</v>
      </c>
      <c r="KB123">
        <v>55769</v>
      </c>
      <c r="KC123">
        <v>6</v>
      </c>
      <c r="KD123">
        <v>195</v>
      </c>
      <c r="KE123">
        <v>0</v>
      </c>
      <c r="KF123">
        <v>196</v>
      </c>
      <c r="KG123">
        <v>5</v>
      </c>
      <c r="KH123">
        <v>63</v>
      </c>
      <c r="KI123">
        <v>13</v>
      </c>
      <c r="KJ123">
        <v>5817</v>
      </c>
      <c r="KK123">
        <v>56249</v>
      </c>
      <c r="KL123">
        <v>3284</v>
      </c>
      <c r="KM123">
        <v>14</v>
      </c>
      <c r="KT123">
        <v>9042</v>
      </c>
      <c r="KU123">
        <v>8774</v>
      </c>
      <c r="KV123">
        <v>7121</v>
      </c>
      <c r="KW123">
        <v>1046</v>
      </c>
      <c r="KX123">
        <v>562</v>
      </c>
      <c r="KZ123">
        <v>6999</v>
      </c>
      <c r="LA123">
        <v>923</v>
      </c>
      <c r="LB123">
        <v>547</v>
      </c>
      <c r="LD123">
        <v>4804</v>
      </c>
      <c r="LE123">
        <v>4879</v>
      </c>
      <c r="LF123">
        <v>3122</v>
      </c>
      <c r="LG123">
        <v>3865</v>
      </c>
      <c r="LH123">
        <v>45500</v>
      </c>
      <c r="LI123">
        <v>115</v>
      </c>
      <c r="LJ123">
        <v>3256</v>
      </c>
      <c r="LK123">
        <v>554</v>
      </c>
      <c r="LL123">
        <v>4343</v>
      </c>
      <c r="LM123">
        <v>21</v>
      </c>
      <c r="LN123">
        <v>3189</v>
      </c>
      <c r="LO123">
        <v>1753</v>
      </c>
      <c r="LP123">
        <v>89</v>
      </c>
      <c r="LQ123">
        <v>3625</v>
      </c>
      <c r="LR123">
        <v>583</v>
      </c>
      <c r="LS123">
        <v>5809</v>
      </c>
      <c r="LT123">
        <v>34</v>
      </c>
      <c r="LU123">
        <v>2825</v>
      </c>
      <c r="LV123">
        <v>1314</v>
      </c>
      <c r="LW123" s="44"/>
      <c r="LX123" s="44"/>
      <c r="LY123" s="44"/>
      <c r="LZ123">
        <v>16746</v>
      </c>
      <c r="MA123">
        <v>65364</v>
      </c>
      <c r="MB123">
        <v>79003</v>
      </c>
      <c r="MC123">
        <v>5374</v>
      </c>
      <c r="MD123" s="26">
        <v>15.356043999999999</v>
      </c>
      <c r="ME123" s="26">
        <v>11.107310999999999</v>
      </c>
      <c r="MF123" s="26">
        <v>48.314285999999996</v>
      </c>
      <c r="MG123" s="26">
        <v>42.447786000000001</v>
      </c>
      <c r="MH123" s="26">
        <v>7.8108199999999997</v>
      </c>
      <c r="MI123" s="26">
        <v>5.2848439999999997</v>
      </c>
      <c r="MJ123" s="26">
        <v>7.6077870000000001</v>
      </c>
      <c r="MK123" s="26">
        <v>5.5535649999999999</v>
      </c>
      <c r="ML123" s="26">
        <v>4.203989</v>
      </c>
      <c r="MM123" s="26">
        <v>44.983877</v>
      </c>
      <c r="MN123" s="26">
        <v>25.188105</v>
      </c>
      <c r="MO123" s="26">
        <v>0.226467</v>
      </c>
      <c r="MP123" t="s">
        <v>1029</v>
      </c>
      <c r="MQ123">
        <v>812</v>
      </c>
      <c r="MR123">
        <v>76</v>
      </c>
    </row>
    <row r="124" spans="1:356">
      <c r="A124" t="s">
        <v>251</v>
      </c>
      <c r="B124" t="s">
        <v>252</v>
      </c>
      <c r="C124">
        <v>85957</v>
      </c>
      <c r="D124">
        <v>98618</v>
      </c>
      <c r="E124">
        <v>109536</v>
      </c>
      <c r="F124">
        <f t="shared" si="6"/>
        <v>10918</v>
      </c>
      <c r="G124" s="26">
        <f t="shared" si="7"/>
        <v>11.071001237096681</v>
      </c>
      <c r="H124">
        <v>53808</v>
      </c>
      <c r="I124">
        <v>55728</v>
      </c>
      <c r="J124">
        <v>72064</v>
      </c>
      <c r="K124">
        <v>37472</v>
      </c>
      <c r="L124">
        <v>4974</v>
      </c>
      <c r="M124">
        <v>5507</v>
      </c>
      <c r="N124">
        <v>5277</v>
      </c>
      <c r="O124">
        <v>4908</v>
      </c>
      <c r="P124">
        <v>4437</v>
      </c>
      <c r="Q124">
        <v>3935</v>
      </c>
      <c r="R124">
        <v>3647</v>
      </c>
      <c r="S124">
        <v>3540</v>
      </c>
      <c r="T124">
        <v>3234</v>
      </c>
      <c r="U124">
        <v>3017</v>
      </c>
      <c r="V124">
        <v>2816</v>
      </c>
      <c r="W124">
        <v>2244</v>
      </c>
      <c r="X124">
        <v>1833</v>
      </c>
      <c r="Y124">
        <v>4427</v>
      </c>
      <c r="Z124">
        <v>12</v>
      </c>
      <c r="AA124">
        <v>4838</v>
      </c>
      <c r="AB124">
        <v>5433</v>
      </c>
      <c r="AC124">
        <v>5094</v>
      </c>
      <c r="AD124">
        <v>4718</v>
      </c>
      <c r="AE124">
        <v>4602</v>
      </c>
      <c r="AF124">
        <v>4274</v>
      </c>
      <c r="AG124">
        <v>4312</v>
      </c>
      <c r="AH124">
        <v>4101</v>
      </c>
      <c r="AI124">
        <v>3717</v>
      </c>
      <c r="AJ124">
        <v>3297</v>
      </c>
      <c r="AK124">
        <v>2918</v>
      </c>
      <c r="AL124">
        <v>2303</v>
      </c>
      <c r="AM124">
        <v>1773</v>
      </c>
      <c r="AN124">
        <v>4336</v>
      </c>
      <c r="AO124">
        <v>12</v>
      </c>
      <c r="AP124">
        <v>107691</v>
      </c>
      <c r="AQ124">
        <v>1646</v>
      </c>
      <c r="AR124">
        <v>72</v>
      </c>
      <c r="AS124">
        <v>70</v>
      </c>
      <c r="AT124">
        <v>57</v>
      </c>
      <c r="AU124">
        <v>2924</v>
      </c>
      <c r="AV124">
        <v>1502</v>
      </c>
      <c r="AW124">
        <v>1422</v>
      </c>
      <c r="AX124">
        <v>1259</v>
      </c>
      <c r="AY124">
        <v>2160</v>
      </c>
      <c r="AZ124">
        <v>1820</v>
      </c>
      <c r="BA124">
        <v>340</v>
      </c>
      <c r="BB124">
        <v>82</v>
      </c>
      <c r="BC124">
        <v>82</v>
      </c>
      <c r="BD124">
        <v>202</v>
      </c>
      <c r="BE124">
        <v>217</v>
      </c>
      <c r="BF124">
        <v>188</v>
      </c>
      <c r="BG124">
        <v>160</v>
      </c>
      <c r="BH124">
        <v>176</v>
      </c>
      <c r="BI124">
        <v>155</v>
      </c>
      <c r="BJ124">
        <v>176</v>
      </c>
      <c r="BK124">
        <v>140</v>
      </c>
      <c r="BL124">
        <v>90</v>
      </c>
      <c r="BM124">
        <v>108</v>
      </c>
      <c r="BN124">
        <v>94</v>
      </c>
      <c r="BO124">
        <v>112</v>
      </c>
      <c r="BP124">
        <v>108</v>
      </c>
      <c r="BQ124">
        <v>104</v>
      </c>
      <c r="BR124">
        <v>78</v>
      </c>
      <c r="BS124">
        <v>64</v>
      </c>
      <c r="BT124">
        <v>86</v>
      </c>
      <c r="BU124">
        <v>66</v>
      </c>
      <c r="BV124">
        <v>52</v>
      </c>
      <c r="BW124">
        <v>53</v>
      </c>
      <c r="BX124">
        <v>48</v>
      </c>
      <c r="BY124">
        <v>47</v>
      </c>
      <c r="BZ124">
        <v>36</v>
      </c>
      <c r="CA124">
        <v>28</v>
      </c>
      <c r="CB124">
        <v>86</v>
      </c>
      <c r="CC124">
        <v>86</v>
      </c>
      <c r="CD124">
        <v>1304</v>
      </c>
      <c r="CE124">
        <v>1081</v>
      </c>
      <c r="CF124">
        <v>196</v>
      </c>
      <c r="CG124">
        <v>336</v>
      </c>
      <c r="CH124">
        <v>21389</v>
      </c>
      <c r="CI124">
        <v>7881</v>
      </c>
      <c r="CJ124">
        <v>83101</v>
      </c>
      <c r="CK124">
        <v>26240</v>
      </c>
      <c r="CL124">
        <v>2725</v>
      </c>
      <c r="CM124">
        <v>5399</v>
      </c>
      <c r="CN124">
        <v>5975</v>
      </c>
      <c r="CO124">
        <v>6758</v>
      </c>
      <c r="CP124">
        <v>4179</v>
      </c>
      <c r="CQ124">
        <v>4234</v>
      </c>
      <c r="CR124">
        <v>20855</v>
      </c>
      <c r="CS124">
        <v>42742</v>
      </c>
      <c r="CT124">
        <v>9280</v>
      </c>
      <c r="CU124">
        <v>2968</v>
      </c>
      <c r="CV124">
        <v>994</v>
      </c>
      <c r="CW124">
        <v>2878</v>
      </c>
      <c r="CX124">
        <v>337</v>
      </c>
      <c r="CY124">
        <v>18803</v>
      </c>
      <c r="CZ124">
        <v>7517</v>
      </c>
      <c r="DA124">
        <v>170</v>
      </c>
      <c r="DB124">
        <v>2725</v>
      </c>
      <c r="DC124">
        <v>48</v>
      </c>
      <c r="DD124">
        <v>8531</v>
      </c>
      <c r="DE124">
        <v>2925</v>
      </c>
      <c r="DF124">
        <v>3578</v>
      </c>
      <c r="DG124">
        <v>22438</v>
      </c>
      <c r="DH124">
        <v>26468</v>
      </c>
      <c r="DI124">
        <v>8050</v>
      </c>
      <c r="DJ124">
        <v>37546</v>
      </c>
      <c r="DK124">
        <v>0</v>
      </c>
      <c r="DL124">
        <v>0</v>
      </c>
      <c r="DM124">
        <v>1045</v>
      </c>
      <c r="DN124">
        <v>20</v>
      </c>
      <c r="DO124">
        <v>11</v>
      </c>
      <c r="DP124">
        <v>22</v>
      </c>
      <c r="DQ124">
        <v>7</v>
      </c>
      <c r="DR124">
        <v>1</v>
      </c>
      <c r="DS124">
        <v>1</v>
      </c>
      <c r="DT124">
        <v>0</v>
      </c>
      <c r="DU124">
        <v>0</v>
      </c>
      <c r="DV124">
        <v>2928</v>
      </c>
      <c r="DW124">
        <v>3170</v>
      </c>
      <c r="DX124">
        <v>4233</v>
      </c>
      <c r="DY124">
        <v>4945</v>
      </c>
      <c r="DZ124">
        <v>1842</v>
      </c>
      <c r="EA124">
        <v>1345</v>
      </c>
      <c r="EB124">
        <v>830</v>
      </c>
      <c r="EC124">
        <v>660</v>
      </c>
      <c r="ED124">
        <v>635</v>
      </c>
      <c r="EE124">
        <v>658</v>
      </c>
      <c r="EF124">
        <v>1198</v>
      </c>
      <c r="EG124">
        <v>1253</v>
      </c>
      <c r="EH124">
        <v>658</v>
      </c>
      <c r="EI124">
        <v>628</v>
      </c>
      <c r="EJ124">
        <v>4024</v>
      </c>
      <c r="EK124">
        <v>6129</v>
      </c>
      <c r="EL124">
        <v>2108</v>
      </c>
      <c r="EM124">
        <v>967</v>
      </c>
      <c r="EN124">
        <v>865</v>
      </c>
      <c r="EO124">
        <v>1627</v>
      </c>
      <c r="EP124">
        <v>835</v>
      </c>
      <c r="EQ124">
        <v>33266</v>
      </c>
      <c r="ER124">
        <v>32731</v>
      </c>
      <c r="ES124">
        <v>535</v>
      </c>
      <c r="ET124">
        <v>7591</v>
      </c>
      <c r="EU124">
        <v>19910</v>
      </c>
      <c r="EV124">
        <v>19744</v>
      </c>
      <c r="EW124">
        <v>166</v>
      </c>
      <c r="EX124">
        <v>23365</v>
      </c>
      <c r="EY124" s="26">
        <v>29.049361000000001</v>
      </c>
      <c r="EZ124" s="26">
        <v>16.064188999999999</v>
      </c>
      <c r="FA124" s="26">
        <v>18.669729</v>
      </c>
      <c r="FB124" s="26">
        <v>35.604320999999999</v>
      </c>
      <c r="FC124" s="26">
        <v>0.61240099999999997</v>
      </c>
      <c r="FD124">
        <v>5300</v>
      </c>
      <c r="FE124">
        <v>15553</v>
      </c>
      <c r="FF124">
        <v>2198</v>
      </c>
      <c r="FG124">
        <v>10752</v>
      </c>
      <c r="FH124">
        <v>112</v>
      </c>
      <c r="FI124">
        <v>9959</v>
      </c>
      <c r="FJ124">
        <v>9279</v>
      </c>
      <c r="FK124" s="26" t="s">
        <v>359</v>
      </c>
      <c r="FL124" s="26" t="s">
        <v>359</v>
      </c>
      <c r="FM124" s="26" t="s">
        <v>359</v>
      </c>
      <c r="FN124" s="26" t="s">
        <v>359</v>
      </c>
      <c r="FO124" s="28">
        <v>33292</v>
      </c>
      <c r="FP124" s="28">
        <v>20488</v>
      </c>
      <c r="FQ124">
        <v>5298</v>
      </c>
      <c r="FR124">
        <v>2501</v>
      </c>
      <c r="FS124">
        <v>583</v>
      </c>
      <c r="FT124">
        <v>177</v>
      </c>
      <c r="FU124">
        <v>23437</v>
      </c>
      <c r="FV124">
        <v>218</v>
      </c>
      <c r="FW124">
        <v>128</v>
      </c>
      <c r="FX124">
        <v>28</v>
      </c>
      <c r="FY124">
        <v>36110</v>
      </c>
      <c r="FZ124">
        <v>19599</v>
      </c>
      <c r="GA124">
        <v>4944</v>
      </c>
      <c r="GB124">
        <v>2903</v>
      </c>
      <c r="GC124">
        <v>696</v>
      </c>
      <c r="GD124">
        <v>186</v>
      </c>
      <c r="GE124">
        <v>26063</v>
      </c>
      <c r="GF124">
        <v>166</v>
      </c>
      <c r="GG124">
        <v>177</v>
      </c>
      <c r="GH124">
        <v>19</v>
      </c>
      <c r="GI124">
        <v>3013</v>
      </c>
      <c r="GJ124">
        <v>3633</v>
      </c>
      <c r="GK124">
        <v>3493</v>
      </c>
      <c r="GL124">
        <v>3073</v>
      </c>
      <c r="GM124">
        <v>2481</v>
      </c>
      <c r="GN124">
        <v>2326</v>
      </c>
      <c r="GO124">
        <v>2153</v>
      </c>
      <c r="GP124">
        <v>2200</v>
      </c>
      <c r="GQ124">
        <v>1991</v>
      </c>
      <c r="GR124">
        <v>1877</v>
      </c>
      <c r="GS124">
        <v>1682</v>
      </c>
      <c r="GT124">
        <v>1390</v>
      </c>
      <c r="GU124">
        <v>1141</v>
      </c>
      <c r="GV124">
        <v>949</v>
      </c>
      <c r="GW124">
        <v>715</v>
      </c>
      <c r="GX124">
        <v>540</v>
      </c>
      <c r="GY124">
        <v>322</v>
      </c>
      <c r="GZ124">
        <v>313</v>
      </c>
      <c r="HA124">
        <v>2861</v>
      </c>
      <c r="HB124">
        <v>3600</v>
      </c>
      <c r="HC124">
        <v>3397</v>
      </c>
      <c r="HD124">
        <v>2976</v>
      </c>
      <c r="HE124">
        <v>2741</v>
      </c>
      <c r="HF124">
        <v>2726</v>
      </c>
      <c r="HG124">
        <v>2889</v>
      </c>
      <c r="HH124">
        <v>2827</v>
      </c>
      <c r="HI124">
        <v>2472</v>
      </c>
      <c r="HJ124">
        <v>2184</v>
      </c>
      <c r="HK124">
        <v>1906</v>
      </c>
      <c r="HL124">
        <v>1511</v>
      </c>
      <c r="HM124">
        <v>1168</v>
      </c>
      <c r="HN124">
        <v>972</v>
      </c>
      <c r="HO124">
        <v>711</v>
      </c>
      <c r="HP124">
        <v>548</v>
      </c>
      <c r="HQ124">
        <v>322</v>
      </c>
      <c r="HR124">
        <v>299</v>
      </c>
      <c r="HS124">
        <v>26348</v>
      </c>
      <c r="HT124">
        <v>48</v>
      </c>
      <c r="HU124">
        <v>175</v>
      </c>
      <c r="HV124">
        <v>7</v>
      </c>
      <c r="HW124">
        <v>111</v>
      </c>
      <c r="HX124">
        <v>0</v>
      </c>
      <c r="HY124">
        <v>22</v>
      </c>
      <c r="HZ124">
        <v>6</v>
      </c>
      <c r="IA124">
        <v>2702</v>
      </c>
      <c r="IB124">
        <v>5373</v>
      </c>
      <c r="IC124">
        <v>5943</v>
      </c>
      <c r="ID124">
        <v>6731</v>
      </c>
      <c r="IE124">
        <v>4169</v>
      </c>
      <c r="IF124">
        <v>2081</v>
      </c>
      <c r="IG124">
        <v>1034</v>
      </c>
      <c r="IH124">
        <v>524</v>
      </c>
      <c r="II124">
        <v>580</v>
      </c>
      <c r="IJ124">
        <v>4665</v>
      </c>
      <c r="IK124">
        <v>7748</v>
      </c>
      <c r="IL124">
        <v>8392</v>
      </c>
      <c r="IM124">
        <v>5029</v>
      </c>
      <c r="IN124">
        <v>2210</v>
      </c>
      <c r="IO124">
        <v>748</v>
      </c>
      <c r="IP124">
        <v>219</v>
      </c>
      <c r="IQ124">
        <v>67</v>
      </c>
      <c r="IR124">
        <v>49</v>
      </c>
      <c r="IS124">
        <v>13532</v>
      </c>
      <c r="IT124">
        <v>11023</v>
      </c>
      <c r="IU124">
        <v>3707</v>
      </c>
      <c r="IV124">
        <v>736</v>
      </c>
      <c r="IW124">
        <v>128</v>
      </c>
      <c r="IX124">
        <v>12150</v>
      </c>
      <c r="IY124">
        <v>7726</v>
      </c>
      <c r="IZ124">
        <v>11</v>
      </c>
      <c r="JA124">
        <v>371</v>
      </c>
      <c r="JB124">
        <v>299</v>
      </c>
      <c r="JC124">
        <v>993</v>
      </c>
      <c r="JD124">
        <v>28429</v>
      </c>
      <c r="JE124">
        <v>696</v>
      </c>
      <c r="JF124">
        <v>12</v>
      </c>
      <c r="JH124" s="28">
        <v>22923.751190693587</v>
      </c>
      <c r="JI124" s="28">
        <v>1192.4210193817769</v>
      </c>
      <c r="JJ124">
        <v>1702</v>
      </c>
      <c r="JK124">
        <v>24225</v>
      </c>
      <c r="JL124">
        <v>3200</v>
      </c>
      <c r="JM124">
        <v>10</v>
      </c>
      <c r="JN124">
        <v>23655</v>
      </c>
      <c r="JO124">
        <v>17594</v>
      </c>
      <c r="JP124">
        <v>6721</v>
      </c>
      <c r="JQ124">
        <v>18227</v>
      </c>
      <c r="JR124">
        <v>25729</v>
      </c>
      <c r="JS124">
        <v>4353</v>
      </c>
      <c r="JT124">
        <v>4125</v>
      </c>
      <c r="JU124">
        <v>23514</v>
      </c>
      <c r="JV124">
        <v>6084</v>
      </c>
      <c r="JW124" s="28"/>
      <c r="JX124" s="28"/>
      <c r="JY124" s="28"/>
      <c r="JZ124" s="28"/>
      <c r="KA124" s="28">
        <v>28823.999856679999</v>
      </c>
      <c r="KB124">
        <v>99009</v>
      </c>
      <c r="KC124">
        <v>124</v>
      </c>
      <c r="KD124">
        <v>446</v>
      </c>
      <c r="KE124">
        <v>11</v>
      </c>
      <c r="KF124">
        <v>363</v>
      </c>
      <c r="KG124">
        <v>0</v>
      </c>
      <c r="KH124">
        <v>73</v>
      </c>
      <c r="KI124">
        <v>19</v>
      </c>
      <c r="KJ124">
        <v>6783</v>
      </c>
      <c r="KK124">
        <v>90911</v>
      </c>
      <c r="KL124">
        <v>11174</v>
      </c>
      <c r="KM124">
        <v>37</v>
      </c>
      <c r="KT124">
        <v>14938</v>
      </c>
      <c r="KU124">
        <v>14641</v>
      </c>
      <c r="KV124">
        <v>11725</v>
      </c>
      <c r="KW124">
        <v>1815</v>
      </c>
      <c r="KX124">
        <v>959</v>
      </c>
      <c r="KZ124">
        <v>11447</v>
      </c>
      <c r="LA124">
        <v>1764</v>
      </c>
      <c r="LB124">
        <v>997</v>
      </c>
      <c r="LD124">
        <v>8240</v>
      </c>
      <c r="LE124">
        <v>8159</v>
      </c>
      <c r="LF124">
        <v>3812</v>
      </c>
      <c r="LG124">
        <v>4895</v>
      </c>
      <c r="LH124">
        <v>78389</v>
      </c>
      <c r="LI124">
        <v>133</v>
      </c>
      <c r="LJ124">
        <v>5075</v>
      </c>
      <c r="LK124">
        <v>1383</v>
      </c>
      <c r="LL124">
        <v>7094</v>
      </c>
      <c r="LM124">
        <v>77</v>
      </c>
      <c r="LN124">
        <v>5766</v>
      </c>
      <c r="LO124">
        <v>4168</v>
      </c>
      <c r="LP124">
        <v>140</v>
      </c>
      <c r="LQ124">
        <v>5887</v>
      </c>
      <c r="LR124">
        <v>1267</v>
      </c>
      <c r="LS124">
        <v>9035</v>
      </c>
      <c r="LT124">
        <v>94</v>
      </c>
      <c r="LU124">
        <v>5219</v>
      </c>
      <c r="LV124">
        <v>3718</v>
      </c>
      <c r="LW124" s="44"/>
      <c r="LX124" s="44"/>
      <c r="LY124" s="44"/>
      <c r="LZ124">
        <v>29137</v>
      </c>
      <c r="MA124">
        <v>108905</v>
      </c>
      <c r="MB124">
        <v>104833</v>
      </c>
      <c r="MC124">
        <v>2367</v>
      </c>
      <c r="MD124" s="26">
        <v>11.107426</v>
      </c>
      <c r="ME124" s="26">
        <v>8.5003669999999989</v>
      </c>
      <c r="MF124" s="26">
        <v>44.348058999999999</v>
      </c>
      <c r="MG124" s="26">
        <v>36.597099999999998</v>
      </c>
      <c r="MH124" s="26">
        <v>5.8413699999999995</v>
      </c>
      <c r="MI124" s="26">
        <v>2.457357</v>
      </c>
      <c r="MJ124" s="26">
        <v>8.8169679999999993</v>
      </c>
      <c r="MK124" s="26">
        <v>2.3887149999999999</v>
      </c>
      <c r="ML124" s="26">
        <v>1.074236</v>
      </c>
      <c r="MM124" s="26">
        <v>39.616295000000001</v>
      </c>
      <c r="MN124" s="26">
        <v>18.814565999999999</v>
      </c>
      <c r="MO124" s="26">
        <v>-0.24988099999999999</v>
      </c>
      <c r="MP124" t="s">
        <v>1027</v>
      </c>
      <c r="MQ124">
        <v>1268</v>
      </c>
      <c r="MR124">
        <v>113</v>
      </c>
    </row>
    <row r="125" spans="1:356">
      <c r="A125" t="s">
        <v>253</v>
      </c>
      <c r="B125" t="s">
        <v>254</v>
      </c>
      <c r="C125">
        <v>26044</v>
      </c>
      <c r="D125">
        <v>34028</v>
      </c>
      <c r="E125">
        <v>40285</v>
      </c>
      <c r="F125">
        <f t="shared" si="6"/>
        <v>6257</v>
      </c>
      <c r="G125" s="26">
        <f t="shared" si="7"/>
        <v>18.387798283766315</v>
      </c>
      <c r="H125">
        <v>19590</v>
      </c>
      <c r="I125">
        <v>20695</v>
      </c>
      <c r="J125">
        <v>18926</v>
      </c>
      <c r="K125">
        <v>21359</v>
      </c>
      <c r="L125">
        <v>2334</v>
      </c>
      <c r="M125">
        <v>2395</v>
      </c>
      <c r="N125">
        <v>2223</v>
      </c>
      <c r="O125">
        <v>2004</v>
      </c>
      <c r="P125">
        <v>1697</v>
      </c>
      <c r="Q125">
        <v>1405</v>
      </c>
      <c r="R125">
        <v>1325</v>
      </c>
      <c r="S125">
        <v>1217</v>
      </c>
      <c r="T125">
        <v>1058</v>
      </c>
      <c r="U125">
        <v>925</v>
      </c>
      <c r="V125">
        <v>773</v>
      </c>
      <c r="W125">
        <v>628</v>
      </c>
      <c r="X125">
        <v>482</v>
      </c>
      <c r="Y125">
        <v>1118</v>
      </c>
      <c r="Z125">
        <v>6</v>
      </c>
      <c r="AA125">
        <v>2322</v>
      </c>
      <c r="AB125">
        <v>2346</v>
      </c>
      <c r="AC125">
        <v>2241</v>
      </c>
      <c r="AD125">
        <v>2042</v>
      </c>
      <c r="AE125">
        <v>1809</v>
      </c>
      <c r="AF125">
        <v>1637</v>
      </c>
      <c r="AG125">
        <v>1435</v>
      </c>
      <c r="AH125">
        <v>1441</v>
      </c>
      <c r="AI125">
        <v>1222</v>
      </c>
      <c r="AJ125">
        <v>1070</v>
      </c>
      <c r="AK125">
        <v>794</v>
      </c>
      <c r="AL125">
        <v>649</v>
      </c>
      <c r="AM125">
        <v>517</v>
      </c>
      <c r="AN125">
        <v>1164</v>
      </c>
      <c r="AO125">
        <v>6</v>
      </c>
      <c r="AP125">
        <v>39958</v>
      </c>
      <c r="AQ125">
        <v>297</v>
      </c>
      <c r="AR125">
        <v>3</v>
      </c>
      <c r="AS125">
        <v>8</v>
      </c>
      <c r="AT125">
        <v>19</v>
      </c>
      <c r="AU125">
        <v>23718</v>
      </c>
      <c r="AV125">
        <v>11511</v>
      </c>
      <c r="AW125">
        <v>12207</v>
      </c>
      <c r="AX125">
        <v>13798</v>
      </c>
      <c r="AY125">
        <v>20425</v>
      </c>
      <c r="AZ125">
        <v>14747</v>
      </c>
      <c r="BA125">
        <v>5678</v>
      </c>
      <c r="BB125">
        <v>507</v>
      </c>
      <c r="BC125">
        <v>428</v>
      </c>
      <c r="BD125">
        <v>1372</v>
      </c>
      <c r="BE125">
        <v>1373</v>
      </c>
      <c r="BF125">
        <v>1307</v>
      </c>
      <c r="BG125">
        <v>1335</v>
      </c>
      <c r="BH125">
        <v>1227</v>
      </c>
      <c r="BI125">
        <v>1282</v>
      </c>
      <c r="BJ125">
        <v>1059</v>
      </c>
      <c r="BK125">
        <v>1194</v>
      </c>
      <c r="BL125">
        <v>926</v>
      </c>
      <c r="BM125">
        <v>1074</v>
      </c>
      <c r="BN125">
        <v>857</v>
      </c>
      <c r="BO125">
        <v>932</v>
      </c>
      <c r="BP125">
        <v>822</v>
      </c>
      <c r="BQ125">
        <v>933</v>
      </c>
      <c r="BR125">
        <v>685</v>
      </c>
      <c r="BS125">
        <v>788</v>
      </c>
      <c r="BT125">
        <v>618</v>
      </c>
      <c r="BU125">
        <v>713</v>
      </c>
      <c r="BV125">
        <v>507</v>
      </c>
      <c r="BW125">
        <v>521</v>
      </c>
      <c r="BX125">
        <v>426</v>
      </c>
      <c r="BY125">
        <v>434</v>
      </c>
      <c r="BZ125">
        <v>349</v>
      </c>
      <c r="CA125">
        <v>350</v>
      </c>
      <c r="CB125">
        <v>849</v>
      </c>
      <c r="CC125">
        <v>850</v>
      </c>
      <c r="CD125">
        <v>9551</v>
      </c>
      <c r="CE125">
        <v>8877</v>
      </c>
      <c r="CF125">
        <v>1895</v>
      </c>
      <c r="CG125">
        <v>3242</v>
      </c>
      <c r="CH125">
        <v>6883</v>
      </c>
      <c r="CI125">
        <v>1865</v>
      </c>
      <c r="CJ125">
        <v>33112</v>
      </c>
      <c r="CK125">
        <v>7014</v>
      </c>
      <c r="CL125">
        <v>511</v>
      </c>
      <c r="CM125">
        <v>1102</v>
      </c>
      <c r="CN125">
        <v>1432</v>
      </c>
      <c r="CO125">
        <v>1783</v>
      </c>
      <c r="CP125">
        <v>1372</v>
      </c>
      <c r="CQ125">
        <v>2548</v>
      </c>
      <c r="CR125">
        <v>6599</v>
      </c>
      <c r="CS125">
        <v>19548</v>
      </c>
      <c r="CT125">
        <v>2448</v>
      </c>
      <c r="CU125">
        <v>997</v>
      </c>
      <c r="CV125">
        <v>483</v>
      </c>
      <c r="CW125">
        <v>1176</v>
      </c>
      <c r="CX125">
        <v>119</v>
      </c>
      <c r="CY125">
        <v>5829</v>
      </c>
      <c r="CZ125">
        <v>2318</v>
      </c>
      <c r="DA125">
        <v>65</v>
      </c>
      <c r="DB125">
        <v>511</v>
      </c>
      <c r="DC125">
        <v>24</v>
      </c>
      <c r="DD125">
        <v>6206</v>
      </c>
      <c r="DE125">
        <v>7466</v>
      </c>
      <c r="DF125">
        <v>4695</v>
      </c>
      <c r="DG125">
        <v>2992</v>
      </c>
      <c r="DH125">
        <v>0</v>
      </c>
      <c r="DI125">
        <v>0</v>
      </c>
      <c r="DJ125">
        <v>18926</v>
      </c>
      <c r="DK125">
        <v>0</v>
      </c>
      <c r="DL125">
        <v>0</v>
      </c>
      <c r="DM125">
        <v>158</v>
      </c>
      <c r="DN125">
        <v>48</v>
      </c>
      <c r="DO125">
        <v>14</v>
      </c>
      <c r="DP125">
        <v>2</v>
      </c>
      <c r="DQ125">
        <v>0</v>
      </c>
      <c r="DR125">
        <v>0</v>
      </c>
      <c r="DS125">
        <v>1</v>
      </c>
      <c r="DT125">
        <v>0</v>
      </c>
      <c r="DU125">
        <v>0</v>
      </c>
      <c r="DV125">
        <v>650</v>
      </c>
      <c r="DW125">
        <v>815</v>
      </c>
      <c r="DX125">
        <v>1139</v>
      </c>
      <c r="DY125">
        <v>1224</v>
      </c>
      <c r="DZ125">
        <v>524</v>
      </c>
      <c r="EA125">
        <v>559</v>
      </c>
      <c r="EB125">
        <v>285</v>
      </c>
      <c r="EC125">
        <v>257</v>
      </c>
      <c r="ED125">
        <v>263</v>
      </c>
      <c r="EE125">
        <v>272</v>
      </c>
      <c r="EF125">
        <v>293</v>
      </c>
      <c r="EG125">
        <v>342</v>
      </c>
      <c r="EH125">
        <v>145</v>
      </c>
      <c r="EI125">
        <v>133</v>
      </c>
      <c r="EJ125">
        <v>1010</v>
      </c>
      <c r="EK125">
        <v>1613</v>
      </c>
      <c r="EL125">
        <v>744</v>
      </c>
      <c r="EM125">
        <v>333</v>
      </c>
      <c r="EN125">
        <v>327</v>
      </c>
      <c r="EO125">
        <v>414</v>
      </c>
      <c r="EP125">
        <v>176</v>
      </c>
      <c r="EQ125">
        <v>11194</v>
      </c>
      <c r="ER125">
        <v>10892</v>
      </c>
      <c r="ES125">
        <v>302</v>
      </c>
      <c r="ET125">
        <v>2604</v>
      </c>
      <c r="EU125">
        <v>7937</v>
      </c>
      <c r="EV125">
        <v>7859</v>
      </c>
      <c r="EW125">
        <v>78</v>
      </c>
      <c r="EX125">
        <v>7131</v>
      </c>
      <c r="EY125" s="26">
        <v>51.320605</v>
      </c>
      <c r="EZ125" s="26">
        <v>12.652092000000001</v>
      </c>
      <c r="FA125" s="26">
        <v>10.070233999999999</v>
      </c>
      <c r="FB125" s="26">
        <v>25.571273000000001</v>
      </c>
      <c r="FC125" s="26">
        <v>0.385795</v>
      </c>
      <c r="FD125">
        <v>4221</v>
      </c>
      <c r="FE125">
        <v>6145</v>
      </c>
      <c r="FF125">
        <v>686</v>
      </c>
      <c r="FG125">
        <v>2805</v>
      </c>
      <c r="FH125">
        <v>10</v>
      </c>
      <c r="FI125">
        <v>2838</v>
      </c>
      <c r="FJ125">
        <v>2414</v>
      </c>
      <c r="FK125" s="26" t="s">
        <v>359</v>
      </c>
      <c r="FL125" s="26" t="s">
        <v>359</v>
      </c>
      <c r="FM125" s="26" t="s">
        <v>359</v>
      </c>
      <c r="FN125" s="26" t="s">
        <v>359</v>
      </c>
      <c r="FO125" s="28">
        <v>12570</v>
      </c>
      <c r="FP125" s="28">
        <v>7009</v>
      </c>
      <c r="FQ125">
        <v>468</v>
      </c>
      <c r="FR125">
        <v>828</v>
      </c>
      <c r="FS125">
        <v>87</v>
      </c>
      <c r="FT125">
        <v>72</v>
      </c>
      <c r="FU125">
        <v>10952</v>
      </c>
      <c r="FV125">
        <v>87</v>
      </c>
      <c r="FW125">
        <v>29</v>
      </c>
      <c r="FX125">
        <v>11</v>
      </c>
      <c r="FY125">
        <v>13722</v>
      </c>
      <c r="FZ125">
        <v>6966</v>
      </c>
      <c r="GA125">
        <v>412</v>
      </c>
      <c r="GB125">
        <v>942</v>
      </c>
      <c r="GC125">
        <v>90</v>
      </c>
      <c r="GD125">
        <v>12</v>
      </c>
      <c r="GE125">
        <v>12070</v>
      </c>
      <c r="GF125">
        <v>74</v>
      </c>
      <c r="GG125">
        <v>39</v>
      </c>
      <c r="GH125">
        <v>7</v>
      </c>
      <c r="GI125">
        <v>1290</v>
      </c>
      <c r="GJ125">
        <v>1665</v>
      </c>
      <c r="GK125">
        <v>1571</v>
      </c>
      <c r="GL125">
        <v>1304</v>
      </c>
      <c r="GM125">
        <v>1073</v>
      </c>
      <c r="GN125">
        <v>843</v>
      </c>
      <c r="GO125">
        <v>831</v>
      </c>
      <c r="GP125">
        <v>771</v>
      </c>
      <c r="GQ125">
        <v>666</v>
      </c>
      <c r="GR125">
        <v>618</v>
      </c>
      <c r="GS125">
        <v>477</v>
      </c>
      <c r="GT125">
        <v>411</v>
      </c>
      <c r="GU125">
        <v>304</v>
      </c>
      <c r="GV125">
        <v>260</v>
      </c>
      <c r="GW125">
        <v>198</v>
      </c>
      <c r="GX125">
        <v>150</v>
      </c>
      <c r="GY125">
        <v>79</v>
      </c>
      <c r="GZ125">
        <v>57</v>
      </c>
      <c r="HA125">
        <v>1258</v>
      </c>
      <c r="HB125">
        <v>1614</v>
      </c>
      <c r="HC125">
        <v>1563</v>
      </c>
      <c r="HD125">
        <v>1316</v>
      </c>
      <c r="HE125">
        <v>1177</v>
      </c>
      <c r="HF125">
        <v>1124</v>
      </c>
      <c r="HG125">
        <v>1009</v>
      </c>
      <c r="HH125">
        <v>1005</v>
      </c>
      <c r="HI125">
        <v>824</v>
      </c>
      <c r="HJ125">
        <v>760</v>
      </c>
      <c r="HK125">
        <v>526</v>
      </c>
      <c r="HL125">
        <v>431</v>
      </c>
      <c r="HM125">
        <v>336</v>
      </c>
      <c r="HN125">
        <v>314</v>
      </c>
      <c r="HO125">
        <v>175</v>
      </c>
      <c r="HP125">
        <v>155</v>
      </c>
      <c r="HQ125">
        <v>71</v>
      </c>
      <c r="HR125">
        <v>63</v>
      </c>
      <c r="HS125">
        <v>7602</v>
      </c>
      <c r="HT125">
        <v>26</v>
      </c>
      <c r="HU125">
        <v>135</v>
      </c>
      <c r="HV125">
        <v>1</v>
      </c>
      <c r="HW125">
        <v>9</v>
      </c>
      <c r="HX125">
        <v>0</v>
      </c>
      <c r="HY125">
        <v>2</v>
      </c>
      <c r="HZ125">
        <v>3</v>
      </c>
      <c r="IA125">
        <v>508</v>
      </c>
      <c r="IB125">
        <v>1101</v>
      </c>
      <c r="IC125">
        <v>1430</v>
      </c>
      <c r="ID125">
        <v>1780</v>
      </c>
      <c r="IE125">
        <v>1371</v>
      </c>
      <c r="IF125">
        <v>962</v>
      </c>
      <c r="IG125">
        <v>641</v>
      </c>
      <c r="IH125">
        <v>383</v>
      </c>
      <c r="II125">
        <v>561</v>
      </c>
      <c r="IJ125">
        <v>870</v>
      </c>
      <c r="IK125">
        <v>3311</v>
      </c>
      <c r="IL125">
        <v>2360</v>
      </c>
      <c r="IM125">
        <v>1258</v>
      </c>
      <c r="IN125">
        <v>552</v>
      </c>
      <c r="IO125">
        <v>233</v>
      </c>
      <c r="IP125">
        <v>72</v>
      </c>
      <c r="IQ125">
        <v>40</v>
      </c>
      <c r="IR125">
        <v>36</v>
      </c>
      <c r="IS125">
        <v>4505</v>
      </c>
      <c r="IT125">
        <v>2735</v>
      </c>
      <c r="IU125">
        <v>1067</v>
      </c>
      <c r="IV125">
        <v>326</v>
      </c>
      <c r="IW125">
        <v>99</v>
      </c>
      <c r="IX125">
        <v>4406</v>
      </c>
      <c r="IY125">
        <v>1551</v>
      </c>
      <c r="IZ125">
        <v>11</v>
      </c>
      <c r="JA125">
        <v>41</v>
      </c>
      <c r="JB125">
        <v>7</v>
      </c>
      <c r="JC125">
        <v>56</v>
      </c>
      <c r="JD125">
        <v>7962</v>
      </c>
      <c r="JE125">
        <v>765</v>
      </c>
      <c r="JF125">
        <v>10</v>
      </c>
      <c r="JH125" s="28">
        <v>6232.8662995654522</v>
      </c>
      <c r="JI125" s="28">
        <v>792.20479039073757</v>
      </c>
      <c r="JJ125">
        <v>2058</v>
      </c>
      <c r="JK125">
        <v>5935</v>
      </c>
      <c r="JL125">
        <v>739</v>
      </c>
      <c r="JM125">
        <v>5</v>
      </c>
      <c r="JN125">
        <v>4133</v>
      </c>
      <c r="JO125">
        <v>1877</v>
      </c>
      <c r="JP125">
        <v>1089</v>
      </c>
      <c r="JQ125">
        <v>4688</v>
      </c>
      <c r="JR125">
        <v>5839</v>
      </c>
      <c r="JS125">
        <v>1112</v>
      </c>
      <c r="JT125">
        <v>681</v>
      </c>
      <c r="JU125">
        <v>5633</v>
      </c>
      <c r="JV125">
        <v>1175</v>
      </c>
      <c r="JW125" s="28"/>
      <c r="JX125" s="28"/>
      <c r="JY125" s="28"/>
      <c r="JZ125" s="28"/>
      <c r="KA125" s="28">
        <v>8513.0000076699998</v>
      </c>
      <c r="KB125">
        <v>35795</v>
      </c>
      <c r="KC125">
        <v>90</v>
      </c>
      <c r="KD125">
        <v>417</v>
      </c>
      <c r="KE125">
        <v>3</v>
      </c>
      <c r="KF125">
        <v>29</v>
      </c>
      <c r="KG125">
        <v>0</v>
      </c>
      <c r="KH125">
        <v>5</v>
      </c>
      <c r="KI125">
        <v>17</v>
      </c>
      <c r="KJ125">
        <v>10547</v>
      </c>
      <c r="KK125">
        <v>26870</v>
      </c>
      <c r="KL125">
        <v>2651</v>
      </c>
      <c r="KM125">
        <v>24</v>
      </c>
      <c r="KT125">
        <v>5570</v>
      </c>
      <c r="KU125">
        <v>5374</v>
      </c>
      <c r="KV125">
        <v>4526</v>
      </c>
      <c r="KW125">
        <v>684</v>
      </c>
      <c r="KX125">
        <v>226</v>
      </c>
      <c r="KZ125">
        <v>4407</v>
      </c>
      <c r="LA125">
        <v>581</v>
      </c>
      <c r="LB125">
        <v>234</v>
      </c>
      <c r="LD125">
        <v>3075</v>
      </c>
      <c r="LE125">
        <v>3053</v>
      </c>
      <c r="LF125">
        <v>2293</v>
      </c>
      <c r="LG125">
        <v>3942</v>
      </c>
      <c r="LH125">
        <v>26412</v>
      </c>
      <c r="LI125">
        <v>21</v>
      </c>
      <c r="LJ125">
        <v>2099</v>
      </c>
      <c r="LK125">
        <v>421</v>
      </c>
      <c r="LL125">
        <v>1938</v>
      </c>
      <c r="LM125">
        <v>8</v>
      </c>
      <c r="LN125">
        <v>1819</v>
      </c>
      <c r="LO125">
        <v>1167</v>
      </c>
      <c r="LP125">
        <v>18</v>
      </c>
      <c r="LQ125">
        <v>2231</v>
      </c>
      <c r="LR125">
        <v>336</v>
      </c>
      <c r="LS125">
        <v>2117</v>
      </c>
      <c r="LT125">
        <v>7</v>
      </c>
      <c r="LU125">
        <v>1577</v>
      </c>
      <c r="LV125">
        <v>985</v>
      </c>
      <c r="LW125" s="44"/>
      <c r="LX125" s="44"/>
      <c r="LY125" s="44"/>
      <c r="LZ125">
        <v>8737</v>
      </c>
      <c r="MA125">
        <v>40092</v>
      </c>
      <c r="MB125">
        <v>37833</v>
      </c>
      <c r="MC125">
        <v>23468</v>
      </c>
      <c r="MD125" s="26">
        <v>23.606693999999997</v>
      </c>
      <c r="ME125" s="26">
        <v>16.790092999999999</v>
      </c>
      <c r="MF125" s="26">
        <v>55.274117999999994</v>
      </c>
      <c r="MG125" s="26">
        <v>34.690331</v>
      </c>
      <c r="MH125" s="26">
        <v>23.554995999999999</v>
      </c>
      <c r="MI125" s="26">
        <v>3.3306629999999999</v>
      </c>
      <c r="MJ125" s="26">
        <v>6.9245739999999998</v>
      </c>
      <c r="MK125" s="26">
        <v>8.7558659999999993</v>
      </c>
      <c r="ML125" s="26">
        <v>2.563809</v>
      </c>
      <c r="MM125" s="26">
        <v>78.516652999999991</v>
      </c>
      <c r="MN125" s="26">
        <v>52.695432999999994</v>
      </c>
      <c r="MO125" s="26">
        <v>1.2893779999999999</v>
      </c>
      <c r="MP125" t="s">
        <v>1028</v>
      </c>
      <c r="MQ125">
        <v>283</v>
      </c>
      <c r="MR125">
        <v>30</v>
      </c>
    </row>
    <row r="126" spans="1:356">
      <c r="A126" t="s">
        <v>257</v>
      </c>
      <c r="B126" t="s">
        <v>258</v>
      </c>
      <c r="C126">
        <v>29754</v>
      </c>
      <c r="D126">
        <v>36489</v>
      </c>
      <c r="E126">
        <v>45373</v>
      </c>
      <c r="F126">
        <f t="shared" si="6"/>
        <v>8884</v>
      </c>
      <c r="G126" s="26">
        <f t="shared" si="7"/>
        <v>24.347063498588611</v>
      </c>
      <c r="H126">
        <v>21115</v>
      </c>
      <c r="I126">
        <v>24258</v>
      </c>
      <c r="J126">
        <v>20545</v>
      </c>
      <c r="K126">
        <v>24828</v>
      </c>
      <c r="L126">
        <v>2456</v>
      </c>
      <c r="M126">
        <v>2788</v>
      </c>
      <c r="N126">
        <v>2847</v>
      </c>
      <c r="O126">
        <v>2370</v>
      </c>
      <c r="P126">
        <v>2011</v>
      </c>
      <c r="Q126">
        <v>1654</v>
      </c>
      <c r="R126">
        <v>1399</v>
      </c>
      <c r="S126">
        <v>1302</v>
      </c>
      <c r="T126">
        <v>955</v>
      </c>
      <c r="U126">
        <v>861</v>
      </c>
      <c r="V126">
        <v>642</v>
      </c>
      <c r="W126">
        <v>513</v>
      </c>
      <c r="X126">
        <v>414</v>
      </c>
      <c r="Y126">
        <v>903</v>
      </c>
      <c r="Z126">
        <v>0</v>
      </c>
      <c r="AA126">
        <v>2649</v>
      </c>
      <c r="AB126">
        <v>2954</v>
      </c>
      <c r="AC126">
        <v>2786</v>
      </c>
      <c r="AD126">
        <v>2679</v>
      </c>
      <c r="AE126">
        <v>2365</v>
      </c>
      <c r="AF126">
        <v>2130</v>
      </c>
      <c r="AG126">
        <v>1810</v>
      </c>
      <c r="AH126">
        <v>1528</v>
      </c>
      <c r="AI126">
        <v>1205</v>
      </c>
      <c r="AJ126">
        <v>1027</v>
      </c>
      <c r="AK126">
        <v>802</v>
      </c>
      <c r="AL126">
        <v>644</v>
      </c>
      <c r="AM126">
        <v>492</v>
      </c>
      <c r="AN126">
        <v>1186</v>
      </c>
      <c r="AO126">
        <v>1</v>
      </c>
      <c r="AP126">
        <v>45340</v>
      </c>
      <c r="AQ126">
        <v>23</v>
      </c>
      <c r="AR126">
        <v>0</v>
      </c>
      <c r="AS126">
        <v>0</v>
      </c>
      <c r="AT126">
        <v>10</v>
      </c>
      <c r="AU126">
        <v>41485</v>
      </c>
      <c r="AV126">
        <v>19321</v>
      </c>
      <c r="AW126">
        <v>22164</v>
      </c>
      <c r="AX126">
        <v>24500</v>
      </c>
      <c r="AY126">
        <v>32323</v>
      </c>
      <c r="AZ126">
        <v>18246</v>
      </c>
      <c r="BA126">
        <v>14077</v>
      </c>
      <c r="BB126">
        <v>973</v>
      </c>
      <c r="BC126">
        <v>1069</v>
      </c>
      <c r="BD126">
        <v>2706</v>
      </c>
      <c r="BE126">
        <v>2868</v>
      </c>
      <c r="BF126">
        <v>2780</v>
      </c>
      <c r="BG126">
        <v>2718</v>
      </c>
      <c r="BH126">
        <v>2332</v>
      </c>
      <c r="BI126">
        <v>2616</v>
      </c>
      <c r="BJ126">
        <v>1977</v>
      </c>
      <c r="BK126">
        <v>2297</v>
      </c>
      <c r="BL126">
        <v>1632</v>
      </c>
      <c r="BM126">
        <v>2081</v>
      </c>
      <c r="BN126">
        <v>1381</v>
      </c>
      <c r="BO126">
        <v>1767</v>
      </c>
      <c r="BP126">
        <v>1284</v>
      </c>
      <c r="BQ126">
        <v>1485</v>
      </c>
      <c r="BR126">
        <v>947</v>
      </c>
      <c r="BS126">
        <v>1180</v>
      </c>
      <c r="BT126">
        <v>853</v>
      </c>
      <c r="BU126">
        <v>1002</v>
      </c>
      <c r="BV126">
        <v>640</v>
      </c>
      <c r="BW126">
        <v>788</v>
      </c>
      <c r="BX126">
        <v>510</v>
      </c>
      <c r="BY126">
        <v>638</v>
      </c>
      <c r="BZ126">
        <v>412</v>
      </c>
      <c r="CA126">
        <v>486</v>
      </c>
      <c r="CB126">
        <v>894</v>
      </c>
      <c r="CC126">
        <v>1169</v>
      </c>
      <c r="CD126">
        <v>14647</v>
      </c>
      <c r="CE126">
        <v>12767</v>
      </c>
      <c r="CF126">
        <v>4575</v>
      </c>
      <c r="CG126">
        <v>9263</v>
      </c>
      <c r="CH126">
        <v>7379</v>
      </c>
      <c r="CI126">
        <v>1749</v>
      </c>
      <c r="CJ126">
        <v>39021</v>
      </c>
      <c r="CK126">
        <v>6188</v>
      </c>
      <c r="CL126">
        <v>568</v>
      </c>
      <c r="CM126">
        <v>926</v>
      </c>
      <c r="CN126">
        <v>1228</v>
      </c>
      <c r="CO126">
        <v>1595</v>
      </c>
      <c r="CP126">
        <v>1446</v>
      </c>
      <c r="CQ126">
        <v>3365</v>
      </c>
      <c r="CR126">
        <v>7325</v>
      </c>
      <c r="CS126">
        <v>24960</v>
      </c>
      <c r="CT126">
        <v>1644</v>
      </c>
      <c r="CU126">
        <v>1074</v>
      </c>
      <c r="CV126">
        <v>368</v>
      </c>
      <c r="CW126">
        <v>694</v>
      </c>
      <c r="CX126">
        <v>16</v>
      </c>
      <c r="CY126">
        <v>6798</v>
      </c>
      <c r="CZ126">
        <v>1751</v>
      </c>
      <c r="DA126">
        <v>8</v>
      </c>
      <c r="DB126">
        <v>568</v>
      </c>
      <c r="DC126">
        <v>3</v>
      </c>
      <c r="DD126">
        <v>381</v>
      </c>
      <c r="DE126">
        <v>2800</v>
      </c>
      <c r="DF126">
        <v>6406</v>
      </c>
      <c r="DG126">
        <v>15241</v>
      </c>
      <c r="DH126">
        <v>4520</v>
      </c>
      <c r="DI126">
        <v>16025</v>
      </c>
      <c r="DJ126">
        <v>0</v>
      </c>
      <c r="DK126">
        <v>0</v>
      </c>
      <c r="DL126">
        <v>0</v>
      </c>
      <c r="DM126">
        <v>7</v>
      </c>
      <c r="DN126">
        <v>17</v>
      </c>
      <c r="DO126">
        <v>16</v>
      </c>
      <c r="DP126">
        <v>17</v>
      </c>
      <c r="DQ126">
        <v>1</v>
      </c>
      <c r="DR126">
        <v>3</v>
      </c>
      <c r="DS126">
        <v>0</v>
      </c>
      <c r="DT126">
        <v>0</v>
      </c>
      <c r="DU126">
        <v>0</v>
      </c>
      <c r="DV126">
        <v>541</v>
      </c>
      <c r="DW126">
        <v>814</v>
      </c>
      <c r="DX126">
        <v>886</v>
      </c>
      <c r="DY126">
        <v>1105</v>
      </c>
      <c r="DZ126">
        <v>605</v>
      </c>
      <c r="EA126">
        <v>593</v>
      </c>
      <c r="EB126">
        <v>188</v>
      </c>
      <c r="EC126">
        <v>206</v>
      </c>
      <c r="ED126">
        <v>189</v>
      </c>
      <c r="EE126">
        <v>253</v>
      </c>
      <c r="EF126">
        <v>250</v>
      </c>
      <c r="EG126">
        <v>379</v>
      </c>
      <c r="EH126">
        <v>63</v>
      </c>
      <c r="EI126">
        <v>71</v>
      </c>
      <c r="EJ126">
        <v>1081</v>
      </c>
      <c r="EK126">
        <v>1599</v>
      </c>
      <c r="EL126">
        <v>931</v>
      </c>
      <c r="EM126">
        <v>296</v>
      </c>
      <c r="EN126">
        <v>338</v>
      </c>
      <c r="EO126">
        <v>509</v>
      </c>
      <c r="EP126">
        <v>98</v>
      </c>
      <c r="EQ126">
        <v>11517</v>
      </c>
      <c r="ER126">
        <v>10859</v>
      </c>
      <c r="ES126">
        <v>658</v>
      </c>
      <c r="ET126">
        <v>3062</v>
      </c>
      <c r="EU126">
        <v>3472</v>
      </c>
      <c r="EV126">
        <v>3425</v>
      </c>
      <c r="EW126">
        <v>47</v>
      </c>
      <c r="EX126">
        <v>13969</v>
      </c>
      <c r="EY126" s="26">
        <v>57.5685</v>
      </c>
      <c r="EZ126" s="26">
        <v>21.631330999999999</v>
      </c>
      <c r="FA126" s="26">
        <v>14.348102000000001</v>
      </c>
      <c r="FB126" s="26">
        <v>6.3393670000000002</v>
      </c>
      <c r="FC126" s="26">
        <v>0.11269999999999999</v>
      </c>
      <c r="FD126">
        <v>2756</v>
      </c>
      <c r="FE126">
        <v>9355</v>
      </c>
      <c r="FF126">
        <v>224</v>
      </c>
      <c r="FG126">
        <v>1862</v>
      </c>
      <c r="FH126">
        <v>2</v>
      </c>
      <c r="FI126">
        <v>574</v>
      </c>
      <c r="FJ126">
        <v>212</v>
      </c>
      <c r="FK126" s="26" t="s">
        <v>359</v>
      </c>
      <c r="FL126" s="26" t="s">
        <v>359</v>
      </c>
      <c r="FM126" s="26" t="s">
        <v>359</v>
      </c>
      <c r="FN126" s="26" t="s">
        <v>359</v>
      </c>
      <c r="FO126" s="28">
        <v>17270</v>
      </c>
      <c r="FP126" s="28">
        <v>3840</v>
      </c>
      <c r="FQ126">
        <v>226</v>
      </c>
      <c r="FR126">
        <v>34</v>
      </c>
      <c r="FS126">
        <v>10</v>
      </c>
      <c r="FT126">
        <v>4</v>
      </c>
      <c r="FU126">
        <v>16314</v>
      </c>
      <c r="FV126">
        <v>62</v>
      </c>
      <c r="FW126">
        <v>279</v>
      </c>
      <c r="FX126">
        <v>5</v>
      </c>
      <c r="FY126">
        <v>20250</v>
      </c>
      <c r="FZ126">
        <v>4002</v>
      </c>
      <c r="GA126">
        <v>267</v>
      </c>
      <c r="GB126">
        <v>32</v>
      </c>
      <c r="GC126">
        <v>14</v>
      </c>
      <c r="GD126">
        <v>3</v>
      </c>
      <c r="GE126">
        <v>19124</v>
      </c>
      <c r="GF126">
        <v>74</v>
      </c>
      <c r="GG126">
        <v>364</v>
      </c>
      <c r="GH126">
        <v>6</v>
      </c>
      <c r="GI126">
        <v>1758</v>
      </c>
      <c r="GJ126">
        <v>2437</v>
      </c>
      <c r="GK126">
        <v>2475</v>
      </c>
      <c r="GL126">
        <v>1966</v>
      </c>
      <c r="GM126">
        <v>1545</v>
      </c>
      <c r="GN126">
        <v>1337</v>
      </c>
      <c r="GO126">
        <v>1167</v>
      </c>
      <c r="GP126">
        <v>1089</v>
      </c>
      <c r="GQ126">
        <v>796</v>
      </c>
      <c r="GR126">
        <v>739</v>
      </c>
      <c r="GS126">
        <v>519</v>
      </c>
      <c r="GT126">
        <v>414</v>
      </c>
      <c r="GU126">
        <v>310</v>
      </c>
      <c r="GV126">
        <v>274</v>
      </c>
      <c r="GW126">
        <v>164</v>
      </c>
      <c r="GX126">
        <v>147</v>
      </c>
      <c r="GY126">
        <v>66</v>
      </c>
      <c r="GZ126">
        <v>67</v>
      </c>
      <c r="HA126">
        <v>1907</v>
      </c>
      <c r="HB126">
        <v>2596</v>
      </c>
      <c r="HC126">
        <v>2397</v>
      </c>
      <c r="HD126">
        <v>2146</v>
      </c>
      <c r="HE126">
        <v>1959</v>
      </c>
      <c r="HF126">
        <v>1828</v>
      </c>
      <c r="HG126">
        <v>1532</v>
      </c>
      <c r="HH126">
        <v>1317</v>
      </c>
      <c r="HI126">
        <v>1040</v>
      </c>
      <c r="HJ126">
        <v>872</v>
      </c>
      <c r="HK126">
        <v>684</v>
      </c>
      <c r="HL126">
        <v>549</v>
      </c>
      <c r="HM126">
        <v>407</v>
      </c>
      <c r="HN126">
        <v>345</v>
      </c>
      <c r="HO126">
        <v>223</v>
      </c>
      <c r="HP126">
        <v>201</v>
      </c>
      <c r="HQ126">
        <v>128</v>
      </c>
      <c r="HR126">
        <v>118</v>
      </c>
      <c r="HS126">
        <v>7847</v>
      </c>
      <c r="HT126">
        <v>0</v>
      </c>
      <c r="HU126">
        <v>3</v>
      </c>
      <c r="HV126">
        <v>0</v>
      </c>
      <c r="HW126">
        <v>62</v>
      </c>
      <c r="HX126">
        <v>0</v>
      </c>
      <c r="HY126">
        <v>3</v>
      </c>
      <c r="HZ126">
        <v>6</v>
      </c>
      <c r="IA126">
        <v>563</v>
      </c>
      <c r="IB126">
        <v>922</v>
      </c>
      <c r="IC126">
        <v>1213</v>
      </c>
      <c r="ID126">
        <v>1582</v>
      </c>
      <c r="IE126">
        <v>1434</v>
      </c>
      <c r="IF126">
        <v>1150</v>
      </c>
      <c r="IG126">
        <v>846</v>
      </c>
      <c r="IH126">
        <v>579</v>
      </c>
      <c r="II126">
        <v>774</v>
      </c>
      <c r="IJ126">
        <v>1520</v>
      </c>
      <c r="IK126">
        <v>2478</v>
      </c>
      <c r="IL126">
        <v>2539</v>
      </c>
      <c r="IM126">
        <v>1350</v>
      </c>
      <c r="IN126">
        <v>821</v>
      </c>
      <c r="IO126">
        <v>230</v>
      </c>
      <c r="IP126">
        <v>66</v>
      </c>
      <c r="IQ126">
        <v>28</v>
      </c>
      <c r="IR126">
        <v>25</v>
      </c>
      <c r="IS126">
        <v>3726</v>
      </c>
      <c r="IT126">
        <v>3171</v>
      </c>
      <c r="IU126">
        <v>1240</v>
      </c>
      <c r="IV126">
        <v>720</v>
      </c>
      <c r="IW126">
        <v>201</v>
      </c>
      <c r="IX126">
        <v>466</v>
      </c>
      <c r="IY126">
        <v>2709</v>
      </c>
      <c r="IZ126">
        <v>149</v>
      </c>
      <c r="JA126">
        <v>25</v>
      </c>
      <c r="JB126">
        <v>1172</v>
      </c>
      <c r="JC126">
        <v>61</v>
      </c>
      <c r="JD126">
        <v>7969</v>
      </c>
      <c r="JE126">
        <v>1089</v>
      </c>
      <c r="JF126">
        <v>5</v>
      </c>
      <c r="JH126" s="28">
        <v>5887.6861659422912</v>
      </c>
      <c r="JI126" s="28">
        <v>750.200337590152</v>
      </c>
      <c r="JJ126">
        <v>1186</v>
      </c>
      <c r="JK126">
        <v>7525</v>
      </c>
      <c r="JL126">
        <v>347</v>
      </c>
      <c r="JM126">
        <v>5</v>
      </c>
      <c r="JN126">
        <v>1267</v>
      </c>
      <c r="JO126">
        <v>669</v>
      </c>
      <c r="JP126">
        <v>1445</v>
      </c>
      <c r="JQ126">
        <v>4538</v>
      </c>
      <c r="JR126">
        <v>6314</v>
      </c>
      <c r="JS126">
        <v>111</v>
      </c>
      <c r="JT126">
        <v>168</v>
      </c>
      <c r="JU126">
        <v>4838</v>
      </c>
      <c r="JV126">
        <v>480</v>
      </c>
      <c r="JW126" s="28"/>
      <c r="JX126" s="28"/>
      <c r="JY126" s="28"/>
      <c r="JZ126" s="28"/>
      <c r="KA126" s="28">
        <v>9008.0000063099997</v>
      </c>
      <c r="KB126">
        <v>39581</v>
      </c>
      <c r="KC126">
        <v>0</v>
      </c>
      <c r="KD126">
        <v>9</v>
      </c>
      <c r="KE126">
        <v>0</v>
      </c>
      <c r="KF126">
        <v>275</v>
      </c>
      <c r="KG126">
        <v>0</v>
      </c>
      <c r="KH126">
        <v>21</v>
      </c>
      <c r="KI126">
        <v>24</v>
      </c>
      <c r="KJ126">
        <v>5440</v>
      </c>
      <c r="KK126">
        <v>37643</v>
      </c>
      <c r="KL126">
        <v>1811</v>
      </c>
      <c r="KM126">
        <v>19</v>
      </c>
      <c r="KT126">
        <v>5158</v>
      </c>
      <c r="KU126">
        <v>4981</v>
      </c>
      <c r="KV126">
        <v>4833</v>
      </c>
      <c r="KW126">
        <v>163</v>
      </c>
      <c r="KX126">
        <v>80</v>
      </c>
      <c r="KZ126">
        <v>4730</v>
      </c>
      <c r="LA126">
        <v>138</v>
      </c>
      <c r="LB126">
        <v>38</v>
      </c>
      <c r="LD126">
        <v>3717</v>
      </c>
      <c r="LE126">
        <v>3706</v>
      </c>
      <c r="LF126">
        <v>2651</v>
      </c>
      <c r="LG126">
        <v>6308</v>
      </c>
      <c r="LH126">
        <v>28892</v>
      </c>
      <c r="LI126">
        <v>27</v>
      </c>
      <c r="LJ126">
        <v>5808</v>
      </c>
      <c r="LK126">
        <v>236</v>
      </c>
      <c r="LL126">
        <v>1663</v>
      </c>
      <c r="LM126">
        <v>1</v>
      </c>
      <c r="LN126">
        <v>462</v>
      </c>
      <c r="LO126">
        <v>97</v>
      </c>
      <c r="LP126">
        <v>18</v>
      </c>
      <c r="LQ126">
        <v>5840</v>
      </c>
      <c r="LR126">
        <v>181</v>
      </c>
      <c r="LS126">
        <v>1544</v>
      </c>
      <c r="LT126">
        <v>2</v>
      </c>
      <c r="LU126">
        <v>330</v>
      </c>
      <c r="LV126">
        <v>57</v>
      </c>
      <c r="LW126" s="44"/>
      <c r="LX126" s="44"/>
      <c r="LY126" s="44"/>
      <c r="LZ126">
        <v>9063</v>
      </c>
      <c r="MA126">
        <v>44913</v>
      </c>
      <c r="MB126">
        <v>41112</v>
      </c>
      <c r="MC126">
        <v>37796</v>
      </c>
      <c r="MD126" s="26">
        <v>31.008583999999999</v>
      </c>
      <c r="ME126" s="26">
        <v>22.331133999999999</v>
      </c>
      <c r="MF126" s="26">
        <v>84.05440999999999</v>
      </c>
      <c r="MG126" s="26">
        <v>17.283405999999999</v>
      </c>
      <c r="MH126" s="26">
        <v>13.086174999999999</v>
      </c>
      <c r="MI126" s="26">
        <v>5.0535139999999998</v>
      </c>
      <c r="MJ126" s="26">
        <v>26.172349000000001</v>
      </c>
      <c r="MK126" s="26">
        <v>12.015889</v>
      </c>
      <c r="ML126" s="26">
        <v>0.60686299999999993</v>
      </c>
      <c r="MM126" s="26">
        <v>92.618337999999994</v>
      </c>
      <c r="MN126" s="26">
        <v>86.020082000000002</v>
      </c>
      <c r="MO126" s="26">
        <v>2.288732</v>
      </c>
      <c r="MP126" t="s">
        <v>1030</v>
      </c>
      <c r="MQ126">
        <v>79</v>
      </c>
      <c r="MR126">
        <v>11</v>
      </c>
    </row>
    <row r="127" spans="1:356">
      <c r="A127" t="s">
        <v>957</v>
      </c>
      <c r="B127" t="s">
        <v>1036</v>
      </c>
      <c r="C127">
        <f>SUM(C3:C126)</f>
        <v>3920892</v>
      </c>
      <c r="D127">
        <f t="shared" ref="D127:E127" si="8">SUM(D3:D126)</f>
        <v>4796580</v>
      </c>
      <c r="E127">
        <f t="shared" si="8"/>
        <v>5543828</v>
      </c>
      <c r="F127">
        <f t="shared" si="6"/>
        <v>747248</v>
      </c>
      <c r="G127" s="26">
        <f t="shared" si="7"/>
        <v>15.578766537824862</v>
      </c>
      <c r="H127">
        <f t="shared" ref="H127" si="9">SUM(H3:H126)</f>
        <v>2705947</v>
      </c>
      <c r="I127">
        <f t="shared" ref="I127" si="10">SUM(I3:I126)</f>
        <v>2837881</v>
      </c>
      <c r="J127">
        <f t="shared" ref="J127" si="11">SUM(J3:J126)</f>
        <v>2726722</v>
      </c>
      <c r="K127">
        <f t="shared" ref="K127" si="12">SUM(K3:K126)</f>
        <v>2817106</v>
      </c>
      <c r="L127">
        <v>288911</v>
      </c>
      <c r="M127">
        <v>308758</v>
      </c>
      <c r="N127">
        <v>295114</v>
      </c>
      <c r="O127">
        <v>262521</v>
      </c>
      <c r="P127">
        <v>223732</v>
      </c>
      <c r="Q127">
        <v>198455</v>
      </c>
      <c r="R127">
        <v>184761</v>
      </c>
      <c r="S127">
        <v>174270</v>
      </c>
      <c r="T127">
        <v>156472</v>
      </c>
      <c r="U127">
        <v>135809</v>
      </c>
      <c r="V127">
        <v>117157</v>
      </c>
      <c r="W127">
        <v>94905</v>
      </c>
      <c r="X127">
        <v>77668</v>
      </c>
      <c r="Y127">
        <v>173513</v>
      </c>
      <c r="Z127">
        <v>13901</v>
      </c>
      <c r="AA127">
        <v>285241</v>
      </c>
      <c r="AB127">
        <v>304034</v>
      </c>
      <c r="AC127">
        <v>288018</v>
      </c>
      <c r="AD127">
        <v>264056</v>
      </c>
      <c r="AE127">
        <v>240791</v>
      </c>
      <c r="AF127">
        <v>225948</v>
      </c>
      <c r="AG127">
        <v>211284</v>
      </c>
      <c r="AH127">
        <v>198593</v>
      </c>
      <c r="AI127">
        <v>172732</v>
      </c>
      <c r="AJ127">
        <v>148524</v>
      </c>
      <c r="AK127">
        <v>126691</v>
      </c>
      <c r="AL127">
        <v>101450</v>
      </c>
      <c r="AM127">
        <v>81058</v>
      </c>
      <c r="AN127">
        <v>175518</v>
      </c>
      <c r="AO127">
        <v>13943</v>
      </c>
      <c r="AP127">
        <v>5276515</v>
      </c>
      <c r="AQ127">
        <v>174961</v>
      </c>
      <c r="AR127">
        <v>4986</v>
      </c>
      <c r="AS127">
        <v>55452</v>
      </c>
      <c r="AT127">
        <v>31914</v>
      </c>
      <c r="AU127">
        <v>1459648</v>
      </c>
      <c r="AV127">
        <v>714600</v>
      </c>
      <c r="AW127">
        <v>745048</v>
      </c>
      <c r="AX127" s="54">
        <f>SUM(AX3:AX126)</f>
        <v>809592</v>
      </c>
      <c r="AY127" s="54">
        <f t="shared" ref="AY127:BK127" si="13">SUM(AY3:AY126)</f>
        <v>1209057</v>
      </c>
      <c r="AZ127" s="54">
        <f t="shared" si="13"/>
        <v>951428</v>
      </c>
      <c r="BA127" s="54">
        <f t="shared" si="13"/>
        <v>257629</v>
      </c>
      <c r="BB127" s="54">
        <f t="shared" si="13"/>
        <v>36067</v>
      </c>
      <c r="BC127" s="54">
        <f t="shared" si="13"/>
        <v>36286</v>
      </c>
      <c r="BD127" s="54">
        <f t="shared" si="13"/>
        <v>97261</v>
      </c>
      <c r="BE127" s="54">
        <f t="shared" si="13"/>
        <v>98316</v>
      </c>
      <c r="BF127" s="54">
        <f t="shared" si="13"/>
        <v>94089</v>
      </c>
      <c r="BG127" s="54">
        <f t="shared" si="13"/>
        <v>92776</v>
      </c>
      <c r="BH127" s="54">
        <f t="shared" si="13"/>
        <v>80821</v>
      </c>
      <c r="BI127" s="54">
        <f t="shared" si="13"/>
        <v>83357</v>
      </c>
      <c r="BJ127" s="54">
        <f t="shared" si="13"/>
        <v>66906</v>
      </c>
      <c r="BK127" s="54">
        <f t="shared" si="13"/>
        <v>73174</v>
      </c>
      <c r="BL127" s="54">
        <f>SUM(BL3:BL126)</f>
        <v>57466</v>
      </c>
      <c r="BM127" s="54">
        <f t="shared" ref="BM127" si="14">SUM(BM3:BM126)</f>
        <v>64727</v>
      </c>
      <c r="BN127" s="54">
        <f t="shared" ref="BN127" si="15">SUM(BN3:BN126)</f>
        <v>51663</v>
      </c>
      <c r="BO127" s="54">
        <f t="shared" ref="BO127" si="16">SUM(BO3:BO126)</f>
        <v>57734</v>
      </c>
      <c r="BP127" s="54">
        <f t="shared" ref="BP127" si="17">SUM(BP3:BP126)</f>
        <v>46751</v>
      </c>
      <c r="BQ127" s="54">
        <f t="shared" ref="BQ127" si="18">SUM(BQ3:BQ126)</f>
        <v>51762</v>
      </c>
      <c r="BR127" s="54">
        <f t="shared" ref="BR127" si="19">SUM(BR3:BR126)</f>
        <v>39316</v>
      </c>
      <c r="BS127" s="54">
        <f t="shared" ref="BS127" si="20">SUM(BS3:BS126)</f>
        <v>41542</v>
      </c>
      <c r="BT127" s="54">
        <f t="shared" ref="BT127" si="21">SUM(BT3:BT126)</f>
        <v>34393</v>
      </c>
      <c r="BU127" s="54">
        <f t="shared" ref="BU127" si="22">SUM(BU3:BU126)</f>
        <v>36297</v>
      </c>
      <c r="BV127" s="54">
        <f t="shared" ref="BV127" si="23">SUM(BV3:BV126)</f>
        <v>27780</v>
      </c>
      <c r="BW127" s="54">
        <f t="shared" ref="BW127" si="24">SUM(BW3:BW126)</f>
        <v>28576</v>
      </c>
      <c r="BX127" s="54">
        <f t="shared" ref="BX127" si="25">SUM(BX3:BX126)</f>
        <v>22360</v>
      </c>
      <c r="BY127" s="54">
        <f>SUM(BY3:BY126)</f>
        <v>23646</v>
      </c>
      <c r="BZ127" s="54">
        <f t="shared" ref="BZ127" si="26">SUM(BZ3:BZ126)</f>
        <v>18095</v>
      </c>
      <c r="CA127" s="54">
        <f t="shared" ref="CA127" si="27">SUM(CA3:CA126)</f>
        <v>17882</v>
      </c>
      <c r="CB127" s="54">
        <f t="shared" ref="CB127" si="28">SUM(CB3:CB126)</f>
        <v>41632</v>
      </c>
      <c r="CC127" s="54">
        <f t="shared" ref="CC127" si="29">SUM(CC3:CC126)</f>
        <v>38973</v>
      </c>
      <c r="CD127">
        <v>550579</v>
      </c>
      <c r="CE127">
        <v>485787</v>
      </c>
      <c r="CF127">
        <v>151737</v>
      </c>
      <c r="CG127">
        <v>245442</v>
      </c>
      <c r="CH127">
        <v>992984</v>
      </c>
      <c r="CI127">
        <v>358039</v>
      </c>
      <c r="CJ127">
        <v>4263508</v>
      </c>
      <c r="CK127">
        <v>1260991</v>
      </c>
      <c r="CL127">
        <v>117969</v>
      </c>
      <c r="CM127">
        <v>210167</v>
      </c>
      <c r="CN127">
        <v>251107</v>
      </c>
      <c r="CO127">
        <v>284184</v>
      </c>
      <c r="CP127">
        <v>205059</v>
      </c>
      <c r="CQ127">
        <v>282537</v>
      </c>
      <c r="CR127">
        <v>957003</v>
      </c>
      <c r="CS127">
        <v>2427716</v>
      </c>
      <c r="CT127">
        <v>397098</v>
      </c>
      <c r="CU127">
        <v>138961</v>
      </c>
      <c r="CV127">
        <v>57481</v>
      </c>
      <c r="CW127">
        <v>150740</v>
      </c>
      <c r="CX127">
        <v>23102</v>
      </c>
      <c r="CY127">
        <v>871162</v>
      </c>
      <c r="CZ127">
        <v>339773</v>
      </c>
      <c r="DA127">
        <v>11566</v>
      </c>
      <c r="DB127">
        <v>117969</v>
      </c>
      <c r="DC127">
        <v>4412</v>
      </c>
      <c r="DD127">
        <v>275590</v>
      </c>
      <c r="DE127">
        <v>438996</v>
      </c>
      <c r="DF127">
        <v>563255</v>
      </c>
      <c r="DG127">
        <v>1539265</v>
      </c>
      <c r="DH127">
        <v>378092</v>
      </c>
      <c r="DI127">
        <v>369984</v>
      </c>
      <c r="DJ127">
        <v>777550</v>
      </c>
      <c r="DK127">
        <v>107728</v>
      </c>
      <c r="DL127">
        <v>1093368</v>
      </c>
      <c r="DM127">
        <v>15060</v>
      </c>
      <c r="DN127">
        <v>2712</v>
      </c>
      <c r="DO127">
        <v>1588</v>
      </c>
      <c r="DP127">
        <v>1591</v>
      </c>
      <c r="DQ127">
        <v>111</v>
      </c>
      <c r="DR127">
        <v>52</v>
      </c>
      <c r="DS127">
        <v>37</v>
      </c>
      <c r="DT127">
        <v>2</v>
      </c>
      <c r="DU127">
        <v>4</v>
      </c>
      <c r="DV127">
        <v>112471</v>
      </c>
      <c r="DW127">
        <v>132571</v>
      </c>
      <c r="DX127">
        <v>171090</v>
      </c>
      <c r="DY127">
        <v>195741</v>
      </c>
      <c r="DZ127">
        <v>80542</v>
      </c>
      <c r="EA127">
        <v>72571</v>
      </c>
      <c r="EB127">
        <v>44447</v>
      </c>
      <c r="EC127">
        <v>38218</v>
      </c>
      <c r="ED127">
        <v>36033</v>
      </c>
      <c r="EE127">
        <v>38882</v>
      </c>
      <c r="EF127">
        <v>55492</v>
      </c>
      <c r="EG127">
        <v>63649</v>
      </c>
      <c r="EH127">
        <v>28234</v>
      </c>
      <c r="EI127">
        <v>25025</v>
      </c>
      <c r="EJ127">
        <v>167533</v>
      </c>
      <c r="EK127">
        <v>248026</v>
      </c>
      <c r="EL127">
        <v>105244</v>
      </c>
      <c r="EM127">
        <v>53479</v>
      </c>
      <c r="EN127">
        <v>50446</v>
      </c>
      <c r="EO127">
        <v>80810</v>
      </c>
      <c r="EP127">
        <v>35005</v>
      </c>
      <c r="EQ127">
        <v>1553659</v>
      </c>
      <c r="ER127">
        <v>1517730</v>
      </c>
      <c r="ES127">
        <v>35929</v>
      </c>
      <c r="ET127">
        <v>408317</v>
      </c>
      <c r="EU127">
        <v>947682</v>
      </c>
      <c r="EV127">
        <v>936525</v>
      </c>
      <c r="EW127">
        <v>11157</v>
      </c>
      <c r="EX127">
        <v>1162911</v>
      </c>
      <c r="EY127" s="26">
        <v>36.144880000000001</v>
      </c>
      <c r="EZ127" s="26">
        <v>14.349026</v>
      </c>
      <c r="FA127" s="26">
        <v>15.759637</v>
      </c>
      <c r="FB127" s="26">
        <v>32.828648999999999</v>
      </c>
      <c r="FC127" s="26">
        <v>0.91780899999999999</v>
      </c>
      <c r="FD127">
        <v>271292</v>
      </c>
      <c r="FE127">
        <v>815075</v>
      </c>
      <c r="FF127">
        <v>95362</v>
      </c>
      <c r="FG127">
        <v>501466</v>
      </c>
      <c r="FH127">
        <v>2190</v>
      </c>
      <c r="FI127">
        <v>430331</v>
      </c>
      <c r="FJ127">
        <v>384035</v>
      </c>
      <c r="FK127" s="26" t="s">
        <v>359</v>
      </c>
      <c r="FL127" s="26" t="s">
        <v>359</v>
      </c>
      <c r="FM127" s="26" t="s">
        <v>359</v>
      </c>
      <c r="FN127" s="26" t="s">
        <v>359</v>
      </c>
      <c r="FO127" s="28">
        <v>1765634</v>
      </c>
      <c r="FP127" s="28">
        <v>924974</v>
      </c>
      <c r="FQ127">
        <v>329904</v>
      </c>
      <c r="FR127">
        <v>96192</v>
      </c>
      <c r="FS127">
        <v>20285</v>
      </c>
      <c r="FT127">
        <v>19525</v>
      </c>
      <c r="FU127">
        <v>1206778</v>
      </c>
      <c r="FV127">
        <v>16631</v>
      </c>
      <c r="FW127">
        <v>15442</v>
      </c>
      <c r="FX127">
        <v>15339</v>
      </c>
      <c r="FY127">
        <v>1933029</v>
      </c>
      <c r="FZ127">
        <v>889808</v>
      </c>
      <c r="GA127">
        <v>342777</v>
      </c>
      <c r="GB127">
        <v>115838</v>
      </c>
      <c r="GC127">
        <v>26277</v>
      </c>
      <c r="GD127">
        <v>19131</v>
      </c>
      <c r="GE127">
        <v>1331637</v>
      </c>
      <c r="GF127">
        <v>16334</v>
      </c>
      <c r="GG127">
        <v>16534</v>
      </c>
      <c r="GH127">
        <v>15044</v>
      </c>
      <c r="GI127">
        <v>175674</v>
      </c>
      <c r="GJ127">
        <v>218738</v>
      </c>
      <c r="GK127">
        <v>211147</v>
      </c>
      <c r="GL127">
        <v>179158</v>
      </c>
      <c r="GM127">
        <v>133600</v>
      </c>
      <c r="GN127">
        <v>120885</v>
      </c>
      <c r="GO127">
        <v>117601</v>
      </c>
      <c r="GP127">
        <v>113127</v>
      </c>
      <c r="GQ127">
        <v>101275</v>
      </c>
      <c r="GR127">
        <v>87507</v>
      </c>
      <c r="GS127">
        <v>74413</v>
      </c>
      <c r="GT127">
        <v>61725</v>
      </c>
      <c r="GU127">
        <v>50989</v>
      </c>
      <c r="GV127">
        <v>41826</v>
      </c>
      <c r="GW127">
        <v>29923</v>
      </c>
      <c r="GX127">
        <v>22497</v>
      </c>
      <c r="GY127">
        <v>13450</v>
      </c>
      <c r="GZ127">
        <v>12083</v>
      </c>
      <c r="HA127">
        <v>173636</v>
      </c>
      <c r="HB127">
        <v>215642</v>
      </c>
      <c r="HC127">
        <v>205581</v>
      </c>
      <c r="HD127">
        <v>177919</v>
      </c>
      <c r="HE127">
        <v>155314</v>
      </c>
      <c r="HF127">
        <v>152134</v>
      </c>
      <c r="HG127">
        <v>146876</v>
      </c>
      <c r="HH127">
        <v>139453</v>
      </c>
      <c r="HI127">
        <v>120816</v>
      </c>
      <c r="HJ127">
        <v>103341</v>
      </c>
      <c r="HK127">
        <v>87390</v>
      </c>
      <c r="HL127">
        <v>71632</v>
      </c>
      <c r="HM127">
        <v>57168</v>
      </c>
      <c r="HN127">
        <v>45677</v>
      </c>
      <c r="HO127">
        <v>31129</v>
      </c>
      <c r="HP127">
        <v>22539</v>
      </c>
      <c r="HQ127">
        <v>13737</v>
      </c>
      <c r="HR127">
        <v>13027</v>
      </c>
      <c r="HS127">
        <v>1136945</v>
      </c>
      <c r="HT127">
        <v>11084</v>
      </c>
      <c r="HU127">
        <v>16666</v>
      </c>
      <c r="HV127">
        <v>14</v>
      </c>
      <c r="HW127">
        <v>2407</v>
      </c>
      <c r="HX127">
        <v>12</v>
      </c>
      <c r="HY127">
        <v>499</v>
      </c>
      <c r="HZ127">
        <v>5172</v>
      </c>
      <c r="IA127">
        <v>117283</v>
      </c>
      <c r="IB127">
        <v>209683</v>
      </c>
      <c r="IC127">
        <v>250584</v>
      </c>
      <c r="ID127">
        <v>283697</v>
      </c>
      <c r="IE127">
        <v>204726</v>
      </c>
      <c r="IF127">
        <v>120434</v>
      </c>
      <c r="IG127">
        <v>68966</v>
      </c>
      <c r="IH127">
        <v>39862</v>
      </c>
      <c r="II127">
        <v>52870</v>
      </c>
      <c r="IJ127">
        <v>160201</v>
      </c>
      <c r="IK127">
        <v>339743</v>
      </c>
      <c r="IL127">
        <v>385225</v>
      </c>
      <c r="IM127">
        <v>254277</v>
      </c>
      <c r="IN127">
        <v>126406</v>
      </c>
      <c r="IO127">
        <v>47846</v>
      </c>
      <c r="IP127">
        <v>15757</v>
      </c>
      <c r="IQ127">
        <v>7046</v>
      </c>
      <c r="IR127">
        <v>4927</v>
      </c>
      <c r="IS127">
        <v>562888</v>
      </c>
      <c r="IT127">
        <v>512294</v>
      </c>
      <c r="IU127">
        <v>197595</v>
      </c>
      <c r="IV127">
        <v>54127</v>
      </c>
      <c r="IW127">
        <v>14537</v>
      </c>
      <c r="IX127">
        <v>581552</v>
      </c>
      <c r="IY127">
        <v>286751</v>
      </c>
      <c r="IZ127">
        <v>5596</v>
      </c>
      <c r="JA127">
        <v>10257</v>
      </c>
      <c r="JB127">
        <v>21179</v>
      </c>
      <c r="JC127">
        <v>52074</v>
      </c>
      <c r="JD127">
        <v>1226871</v>
      </c>
      <c r="JE127">
        <v>114526</v>
      </c>
      <c r="JF127">
        <v>6708</v>
      </c>
      <c r="JJ127">
        <v>149481</v>
      </c>
      <c r="JK127">
        <v>995512</v>
      </c>
      <c r="JL127">
        <v>196428</v>
      </c>
      <c r="JM127">
        <v>6684</v>
      </c>
      <c r="JN127">
        <v>870621</v>
      </c>
      <c r="JO127">
        <v>590197</v>
      </c>
      <c r="JP127">
        <v>284758</v>
      </c>
      <c r="JQ127">
        <v>734149</v>
      </c>
      <c r="JR127">
        <v>1036741</v>
      </c>
      <c r="JS127">
        <v>212970</v>
      </c>
      <c r="JT127">
        <v>159652</v>
      </c>
      <c r="JU127">
        <v>944695</v>
      </c>
      <c r="JV127">
        <v>292189</v>
      </c>
      <c r="KA127" s="28">
        <v>1324132.9968900001</v>
      </c>
      <c r="KB127">
        <v>4763082</v>
      </c>
      <c r="KC127">
        <v>31665</v>
      </c>
      <c r="KD127">
        <v>46792</v>
      </c>
      <c r="KE127">
        <v>32</v>
      </c>
      <c r="KF127">
        <v>7980</v>
      </c>
      <c r="KG127">
        <v>43</v>
      </c>
      <c r="KH127">
        <v>1668</v>
      </c>
      <c r="KI127">
        <v>22661</v>
      </c>
      <c r="KJ127">
        <v>679735</v>
      </c>
      <c r="KK127">
        <v>4115423</v>
      </c>
      <c r="KL127">
        <v>691633</v>
      </c>
      <c r="KM127">
        <v>28017</v>
      </c>
      <c r="KT127">
        <v>796783</v>
      </c>
      <c r="KU127">
        <v>774799</v>
      </c>
      <c r="KV127">
        <v>640229</v>
      </c>
      <c r="KW127">
        <v>90149</v>
      </c>
      <c r="KX127">
        <v>43048</v>
      </c>
      <c r="KZ127">
        <v>622944</v>
      </c>
      <c r="LA127">
        <v>85005</v>
      </c>
      <c r="LB127">
        <v>43326</v>
      </c>
      <c r="LD127">
        <v>435398</v>
      </c>
      <c r="LE127">
        <v>431293</v>
      </c>
      <c r="LF127">
        <v>190134</v>
      </c>
      <c r="LG127">
        <v>322586</v>
      </c>
      <c r="LH127">
        <v>3745908</v>
      </c>
      <c r="LI127">
        <v>5096</v>
      </c>
      <c r="LJ127">
        <v>317239</v>
      </c>
      <c r="LK127">
        <v>61314</v>
      </c>
      <c r="LL127">
        <v>356539</v>
      </c>
      <c r="LM127">
        <v>1299</v>
      </c>
      <c r="LN127">
        <v>260134</v>
      </c>
      <c r="LO127">
        <v>161778</v>
      </c>
      <c r="LP127">
        <v>5606</v>
      </c>
      <c r="LQ127">
        <v>345180</v>
      </c>
      <c r="LR127">
        <v>55377</v>
      </c>
      <c r="LS127">
        <v>399387</v>
      </c>
      <c r="LT127">
        <v>2456</v>
      </c>
      <c r="LU127">
        <v>237785</v>
      </c>
      <c r="LV127">
        <v>153041</v>
      </c>
      <c r="LZ127">
        <v>1348105</v>
      </c>
      <c r="MA127">
        <v>5514808</v>
      </c>
      <c r="MB127">
        <v>5217908</v>
      </c>
      <c r="MC127">
        <v>1361249</v>
      </c>
      <c r="MD127" s="26">
        <v>13.687469</v>
      </c>
      <c r="ME127" s="26">
        <v>10.523719999999999</v>
      </c>
      <c r="MF127" s="26">
        <v>48.053342000000001</v>
      </c>
      <c r="MG127" s="26">
        <v>32.735178999999995</v>
      </c>
      <c r="MH127" s="26">
        <v>11.088230999999999</v>
      </c>
      <c r="MI127" s="26">
        <v>3.2237100000000001</v>
      </c>
      <c r="MJ127" s="26">
        <v>9.9113939999999996</v>
      </c>
      <c r="MK127" s="26">
        <v>8.4953319999999994</v>
      </c>
      <c r="ML127" s="26">
        <v>1.7782</v>
      </c>
      <c r="MM127" s="26">
        <v>56.22025</v>
      </c>
      <c r="MN127" s="26">
        <v>35.418903</v>
      </c>
      <c r="MO127" s="26">
        <v>2.6442239999999999</v>
      </c>
      <c r="MP127" t="s">
        <v>1030</v>
      </c>
      <c r="MQ127">
        <v>1</v>
      </c>
      <c r="MR127" t="s">
        <v>393</v>
      </c>
    </row>
  </sheetData>
  <sheetProtection algorithmName="SHA-512" hashValue="ksfFV6fv9v4BINmzw8FDWQP9oggPpTFYORUUIrI0qkacH66yPcxt3jERkiPgc280PgfE8FoQp/U9IjDG/YW20w==" saltValue="uHJD/408nUU/ZMTbOsoyOg==" spinCount="100000" sheet="1" objects="1" scenarios="1"/>
  <mergeCells count="1">
    <mergeCell ref="MD1:MR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S35"/>
  <sheetViews>
    <sheetView zoomScaleNormal="100" workbookViewId="0">
      <selection activeCell="P21" sqref="P21"/>
    </sheetView>
  </sheetViews>
  <sheetFormatPr baseColWidth="10" defaultRowHeight="18.75" customHeight="1"/>
  <cols>
    <col min="1" max="1" width="11.42578125" style="4"/>
    <col min="2" max="2" width="13.85546875" style="4" customWidth="1"/>
    <col min="3" max="3" width="13.5703125" style="4" customWidth="1"/>
    <col min="4" max="4" width="13" style="4" customWidth="1"/>
    <col min="5" max="5" width="8.85546875" style="4" customWidth="1"/>
    <col min="6" max="6" width="12.7109375" style="5" customWidth="1"/>
    <col min="7" max="7" width="4.85546875" style="4" customWidth="1"/>
    <col min="8" max="8" width="15" style="4" customWidth="1"/>
    <col min="9" max="9" width="10.140625" style="4" customWidth="1"/>
    <col min="10" max="11" width="10.5703125" style="5" customWidth="1"/>
    <col min="12" max="12" width="12.42578125" style="5" customWidth="1"/>
    <col min="13" max="13" width="9.140625" style="5" customWidth="1"/>
    <col min="14" max="14" width="12.28515625" style="5" customWidth="1"/>
    <col min="15" max="15" width="12.28515625" style="258" customWidth="1"/>
    <col min="16" max="16" width="11.42578125" style="6" customWidth="1"/>
    <col min="17" max="17" width="23.7109375" style="6" customWidth="1"/>
    <col min="18" max="19" width="11.42578125" style="259"/>
    <col min="20" max="16384" width="11.42578125" style="4"/>
  </cols>
  <sheetData>
    <row r="1" spans="2:17" ht="18" customHeight="1"/>
    <row r="2" spans="2:17" ht="18" customHeight="1"/>
    <row r="3" spans="2:17" ht="18" customHeight="1"/>
    <row r="4" spans="2:17" ht="18" customHeight="1">
      <c r="B4" s="72" t="s">
        <v>3</v>
      </c>
      <c r="C4" s="73"/>
      <c r="D4" s="73"/>
      <c r="E4" s="74"/>
      <c r="F4" s="75"/>
      <c r="G4" s="74"/>
      <c r="H4" s="74"/>
      <c r="I4" s="74"/>
      <c r="J4" s="75"/>
      <c r="K4" s="75"/>
      <c r="L4" s="75"/>
      <c r="M4" s="76" t="s">
        <v>953</v>
      </c>
    </row>
    <row r="5" spans="2:17" ht="18" customHeight="1">
      <c r="B5" s="77" t="s">
        <v>2</v>
      </c>
      <c r="C5" s="74"/>
      <c r="D5" s="74"/>
      <c r="E5" s="74"/>
      <c r="F5" s="75"/>
      <c r="G5" s="74"/>
      <c r="H5" s="74"/>
      <c r="I5" s="74"/>
      <c r="J5" s="75"/>
      <c r="K5" s="75"/>
      <c r="L5" s="75"/>
      <c r="M5" s="75"/>
    </row>
    <row r="6" spans="2:17" ht="18" customHeight="1">
      <c r="B6" s="266" t="s">
        <v>1037</v>
      </c>
      <c r="C6" s="266"/>
      <c r="D6" s="266"/>
      <c r="E6" s="266"/>
      <c r="F6" s="266"/>
      <c r="G6" s="266"/>
      <c r="H6" s="74"/>
      <c r="I6" s="78" t="s">
        <v>9</v>
      </c>
      <c r="J6" s="260" t="s">
        <v>180</v>
      </c>
      <c r="K6" s="80"/>
      <c r="L6" s="80"/>
      <c r="M6" s="81"/>
    </row>
    <row r="7" spans="2:17" ht="18" customHeight="1" thickBot="1">
      <c r="B7" s="266"/>
      <c r="C7" s="266"/>
      <c r="D7" s="266"/>
      <c r="E7" s="266"/>
      <c r="F7" s="266"/>
      <c r="G7" s="266"/>
      <c r="H7" s="74"/>
      <c r="I7" s="74"/>
      <c r="J7" s="75"/>
      <c r="K7" s="75"/>
      <c r="L7" s="75"/>
      <c r="M7" s="75"/>
    </row>
    <row r="8" spans="2:17" ht="28.5" customHeight="1">
      <c r="B8" s="276" t="s">
        <v>489</v>
      </c>
      <c r="C8" s="277"/>
      <c r="D8" s="278"/>
      <c r="F8" s="4"/>
      <c r="K8" s="267" t="s">
        <v>960</v>
      </c>
      <c r="L8" s="268"/>
      <c r="M8" s="269"/>
      <c r="O8" s="60" t="s">
        <v>370</v>
      </c>
      <c r="P8" s="256" t="s">
        <v>12</v>
      </c>
      <c r="Q8" s="256" t="s">
        <v>13</v>
      </c>
    </row>
    <row r="9" spans="2:17" ht="18" customHeight="1">
      <c r="B9" s="82" t="s">
        <v>388</v>
      </c>
      <c r="C9" s="83">
        <f>VLOOKUP(J6,BASE!B3:E127,4,0)</f>
        <v>30297</v>
      </c>
      <c r="D9" s="84" t="s">
        <v>361</v>
      </c>
      <c r="F9" s="4"/>
      <c r="K9" s="96" t="s">
        <v>364</v>
      </c>
      <c r="L9" s="88">
        <f>VLOOKUP(J6,BASE!B3:J127,9,0)</f>
        <v>8222</v>
      </c>
      <c r="M9" s="97">
        <f>L9/C9</f>
        <v>0.27138000462091955</v>
      </c>
      <c r="O9" s="6" t="s">
        <v>371</v>
      </c>
      <c r="P9" s="7">
        <f>VLOOKUP(J6,BASE!B3:L127,11,0)*-1</f>
        <v>-1457</v>
      </c>
      <c r="Q9" s="257">
        <f>(VLOOKUP(J6,BASE!B3:AA127,26,0))</f>
        <v>1414</v>
      </c>
    </row>
    <row r="10" spans="2:17" ht="18" customHeight="1" thickBot="1">
      <c r="B10" s="85">
        <v>2015</v>
      </c>
      <c r="C10" s="86">
        <f>VLOOKUP(J6,BASE!B3:MB127,339,0)</f>
        <v>28961</v>
      </c>
      <c r="D10" s="87" t="s">
        <v>361</v>
      </c>
      <c r="F10" s="4"/>
      <c r="K10" s="98" t="s">
        <v>365</v>
      </c>
      <c r="L10" s="99">
        <f>VLOOKUP(J6,BASE!B3:K127,10,0)</f>
        <v>22075</v>
      </c>
      <c r="M10" s="100">
        <f>L10/C9</f>
        <v>0.7286199953790804</v>
      </c>
      <c r="O10" s="8" t="s">
        <v>372</v>
      </c>
      <c r="P10" s="7">
        <f>VLOOKUP(J6,BASE!B3:M127,12,0)*-1</f>
        <v>-1591</v>
      </c>
      <c r="Q10" s="257">
        <f>VLOOKUP(J6,BASE!B3:AB127,27,0)</f>
        <v>1640</v>
      </c>
    </row>
    <row r="11" spans="2:17" ht="18" customHeight="1">
      <c r="B11" s="82" t="s">
        <v>389</v>
      </c>
      <c r="C11" s="83">
        <f>VLOOKUP(J6,BASE!B3:D127,3,0)</f>
        <v>27899</v>
      </c>
      <c r="D11" s="84" t="s">
        <v>361</v>
      </c>
      <c r="F11" s="4"/>
      <c r="O11" s="9" t="s">
        <v>373</v>
      </c>
      <c r="P11" s="7">
        <f>VLOOKUP(J6,BASE!B3:N127,13,0)*-1</f>
        <v>-1520</v>
      </c>
      <c r="Q11" s="257">
        <f>VLOOKUP(J6,BASE!B3:AC127,28,0)</f>
        <v>1426</v>
      </c>
    </row>
    <row r="12" spans="2:17" ht="18" customHeight="1">
      <c r="B12" s="85" t="s">
        <v>390</v>
      </c>
      <c r="C12" s="88">
        <f>VLOOKUP(J6,BASE!B3:C127,2,0)</f>
        <v>26706</v>
      </c>
      <c r="D12" s="87" t="s">
        <v>361</v>
      </c>
      <c r="F12" s="4"/>
      <c r="O12" s="6" t="s">
        <v>374</v>
      </c>
      <c r="P12" s="7">
        <f>VLOOKUP(J6,BASE!B3:O127,14,0)*-1</f>
        <v>-1315</v>
      </c>
      <c r="Q12" s="257">
        <f>VLOOKUP(J6,BASE!B3:AD127,29,0)</f>
        <v>1330</v>
      </c>
    </row>
    <row r="13" spans="2:17" ht="18" customHeight="1">
      <c r="B13" s="284" t="s">
        <v>360</v>
      </c>
      <c r="C13" s="83">
        <f>IFERROR(C9-C11,"ND")</f>
        <v>2398</v>
      </c>
      <c r="D13" s="84" t="s">
        <v>361</v>
      </c>
      <c r="F13" s="4"/>
      <c r="O13" s="6" t="s">
        <v>375</v>
      </c>
      <c r="P13" s="7">
        <f>VLOOKUP(J6,BASE!B3:P127,15,0)*-1</f>
        <v>-1087</v>
      </c>
      <c r="Q13" s="257">
        <f>VLOOKUP(J6,BASE!B3:AE127,30,0)</f>
        <v>1140</v>
      </c>
    </row>
    <row r="14" spans="2:17" ht="18" customHeight="1" thickBot="1">
      <c r="B14" s="285"/>
      <c r="C14" s="89">
        <f>IFERROR(C9/C11*100-100,"ND")</f>
        <v>8.5952901537689428</v>
      </c>
      <c r="D14" s="90" t="s">
        <v>362</v>
      </c>
      <c r="F14" s="4"/>
      <c r="O14" s="6" t="s">
        <v>376</v>
      </c>
      <c r="P14" s="7">
        <f>VLOOKUP(J6,BASE!B3:Q127,16,0)*-1</f>
        <v>-1228</v>
      </c>
      <c r="Q14" s="257">
        <f>VLOOKUP(J6,BASE!B3:AF127,31,0)</f>
        <v>1124</v>
      </c>
    </row>
    <row r="15" spans="2:17" ht="18" customHeight="1" thickBot="1">
      <c r="F15" s="4"/>
      <c r="O15" s="6" t="s">
        <v>377</v>
      </c>
      <c r="P15" s="7">
        <f>VLOOKUP(J6,BASE!B3:R127,17,0)*-1</f>
        <v>-1163</v>
      </c>
      <c r="Q15" s="257">
        <f>VLOOKUP(J6,BASE!B3:AG127,32,0)</f>
        <v>1088</v>
      </c>
    </row>
    <row r="16" spans="2:17" ht="18" customHeight="1">
      <c r="B16" s="276" t="s">
        <v>958</v>
      </c>
      <c r="C16" s="277"/>
      <c r="D16" s="278"/>
      <c r="F16" s="4"/>
      <c r="O16" s="6" t="s">
        <v>378</v>
      </c>
      <c r="P16" s="7">
        <f>VLOOKUP(J6,BASE!B3:S127,18,0)*-1</f>
        <v>-1098</v>
      </c>
      <c r="Q16" s="257">
        <f>VLOOKUP(J6,BASE!B3:AH127,33,0)</f>
        <v>968</v>
      </c>
    </row>
    <row r="17" spans="2:17" ht="23.1" customHeight="1">
      <c r="B17" s="91" t="s">
        <v>12</v>
      </c>
      <c r="C17" s="83">
        <f>VLOOKUP(J6,BASE!B3:H127,7,0)</f>
        <v>15578</v>
      </c>
      <c r="D17" s="92">
        <f>C17/$C$9</f>
        <v>0.51417632108789646</v>
      </c>
      <c r="F17" s="4"/>
      <c r="O17" s="6" t="s">
        <v>379</v>
      </c>
      <c r="P17" s="7">
        <f>VLOOKUP(J6,BASE!B3:T127,19,0)*-1</f>
        <v>-972</v>
      </c>
      <c r="Q17" s="257">
        <f>VLOOKUP(J6,BASE!B3:AI127,34,0)</f>
        <v>831</v>
      </c>
    </row>
    <row r="18" spans="2:17" ht="23.1" customHeight="1">
      <c r="B18" s="93" t="s">
        <v>13</v>
      </c>
      <c r="C18" s="88">
        <f>VLOOKUP(J6,BASE!B3:I127,8,0)</f>
        <v>14719</v>
      </c>
      <c r="D18" s="94">
        <f>C18/$C$9</f>
        <v>0.48582367891210348</v>
      </c>
      <c r="F18" s="4"/>
      <c r="O18" s="6" t="s">
        <v>380</v>
      </c>
      <c r="P18" s="7">
        <f>VLOOKUP(J6,BASE!B3:U127,20,0)*-1</f>
        <v>-854</v>
      </c>
      <c r="Q18" s="257">
        <f>VLOOKUP(J6,BASE!B3:AJ127,35,0)</f>
        <v>803</v>
      </c>
    </row>
    <row r="19" spans="2:17" ht="28.5" customHeight="1" thickBot="1">
      <c r="B19" s="279" t="s">
        <v>363</v>
      </c>
      <c r="C19" s="280"/>
      <c r="D19" s="95">
        <f>C17/C18*100</f>
        <v>105.83599429309056</v>
      </c>
      <c r="F19" s="4"/>
      <c r="O19" s="6" t="s">
        <v>381</v>
      </c>
      <c r="P19" s="7">
        <f>VLOOKUP(J6,BASE!B3:V127,21,0)*-1</f>
        <v>-799</v>
      </c>
      <c r="Q19" s="257">
        <f>VLOOKUP(J6,BASE!B3:AK127,36,0)</f>
        <v>766</v>
      </c>
    </row>
    <row r="20" spans="2:17" ht="18" customHeight="1">
      <c r="F20" s="4"/>
      <c r="O20" s="6" t="s">
        <v>382</v>
      </c>
      <c r="P20" s="7">
        <f>VLOOKUP(J6,BASE!B3:W127,22,0)*-1</f>
        <v>-618</v>
      </c>
      <c r="Q20" s="257">
        <f>VLOOKUP(J6,BASE!B3:AL127,37,0)</f>
        <v>536</v>
      </c>
    </row>
    <row r="21" spans="2:17" ht="18" customHeight="1">
      <c r="F21" s="4"/>
      <c r="O21" s="6" t="s">
        <v>383</v>
      </c>
      <c r="P21" s="7">
        <f>VLOOKUP(J6,BASE!B3:X127,23,0)*-1</f>
        <v>-521</v>
      </c>
      <c r="Q21" s="257">
        <f>VLOOKUP(J6,BASE!B3:AM127,38,0)</f>
        <v>471</v>
      </c>
    </row>
    <row r="22" spans="2:17" ht="18" customHeight="1">
      <c r="F22" s="4"/>
      <c r="O22" s="6" t="s">
        <v>384</v>
      </c>
      <c r="P22" s="7">
        <f>VLOOKUP(J6,BASE!B3:Y127,24,0)*-1</f>
        <v>-1354</v>
      </c>
      <c r="Q22" s="257">
        <f>VLOOKUP(J6,BASE!B3:AN127,39,0)</f>
        <v>1181</v>
      </c>
    </row>
    <row r="23" spans="2:17" ht="18" customHeight="1">
      <c r="F23" s="4"/>
    </row>
    <row r="24" spans="2:17" ht="18" customHeight="1" thickBot="1">
      <c r="F24" s="4"/>
    </row>
    <row r="25" spans="2:17" ht="18" customHeight="1">
      <c r="B25" s="281" t="s">
        <v>959</v>
      </c>
      <c r="C25" s="282"/>
      <c r="D25" s="282"/>
      <c r="E25" s="283"/>
      <c r="F25" s="4"/>
    </row>
    <row r="26" spans="2:17" ht="18" customHeight="1">
      <c r="B26" s="270" t="s">
        <v>366</v>
      </c>
      <c r="C26" s="271"/>
      <c r="D26" s="88">
        <f>VLOOKUP(J6,BASE!B3:AP127,41,0)</f>
        <v>28148</v>
      </c>
      <c r="E26" s="94">
        <f>D26/$C$9</f>
        <v>0.92906888470805693</v>
      </c>
      <c r="F26" s="4"/>
      <c r="J26" s="4"/>
      <c r="K26" s="4"/>
      <c r="L26" s="4"/>
    </row>
    <row r="27" spans="2:17" ht="18" customHeight="1">
      <c r="B27" s="272" t="s">
        <v>367</v>
      </c>
      <c r="C27" s="273"/>
      <c r="D27" s="83">
        <f>VLOOKUP(J6,BASE!B3:AQ127,42,0)</f>
        <v>1844</v>
      </c>
      <c r="E27" s="92">
        <f>IFERROR(D27/$C$9,"ND")</f>
        <v>6.0864111958279697E-2</v>
      </c>
      <c r="F27" s="4"/>
      <c r="J27" s="4"/>
      <c r="K27" s="4"/>
      <c r="L27" s="4"/>
    </row>
    <row r="28" spans="2:17" ht="23.1" customHeight="1">
      <c r="B28" s="270" t="s">
        <v>368</v>
      </c>
      <c r="C28" s="271"/>
      <c r="D28" s="88">
        <f>VLOOKUP(J6,BASE!B3:AR127,43,0)</f>
        <v>78</v>
      </c>
      <c r="E28" s="94">
        <f>IFERROR(D28/$C$9,"ND")</f>
        <v>2.5745123279532628E-3</v>
      </c>
      <c r="F28" s="4"/>
      <c r="J28" s="4"/>
      <c r="K28" s="4"/>
      <c r="L28" s="4"/>
    </row>
    <row r="29" spans="2:17" ht="18" customHeight="1">
      <c r="B29" s="272" t="s">
        <v>369</v>
      </c>
      <c r="C29" s="273"/>
      <c r="D29" s="83">
        <f>VLOOKUP(J6,BASE!B3:AS127,44,0)</f>
        <v>214</v>
      </c>
      <c r="E29" s="92">
        <f>IFERROR(D29/$C$9,"ND")</f>
        <v>7.0634056177179255E-3</v>
      </c>
      <c r="F29" s="4"/>
      <c r="J29" s="4"/>
      <c r="K29" s="4"/>
      <c r="L29" s="4"/>
    </row>
    <row r="30" spans="2:17" ht="18" customHeight="1" thickBot="1">
      <c r="B30" s="274" t="s">
        <v>10</v>
      </c>
      <c r="C30" s="275"/>
      <c r="D30" s="101">
        <f>VLOOKUP(J6,BASE!B3:AT127,45,0)</f>
        <v>13</v>
      </c>
      <c r="E30" s="102">
        <f>IFERROR(D30/$C$9,"ND")</f>
        <v>4.2908538799221047E-4</v>
      </c>
      <c r="F30" s="4"/>
      <c r="J30" s="4"/>
      <c r="K30" s="4"/>
      <c r="L30" s="4"/>
    </row>
    <row r="31" spans="2:17" ht="23.25" customHeight="1">
      <c r="F31" s="4"/>
      <c r="J31" s="4"/>
      <c r="K31" s="4"/>
      <c r="L31" s="4"/>
    </row>
    <row r="32" spans="2:17" ht="23.25" customHeight="1">
      <c r="F32" s="4"/>
      <c r="J32" s="4"/>
      <c r="K32" s="4"/>
      <c r="L32" s="4"/>
    </row>
    <row r="33" spans="6:12" ht="23.25" customHeight="1">
      <c r="F33" s="4"/>
      <c r="J33" s="4"/>
      <c r="K33" s="4"/>
      <c r="L33" s="4"/>
    </row>
    <row r="34" spans="6:12" ht="23.25" customHeight="1"/>
    <row r="35" spans="6:12" ht="23.25" customHeight="1"/>
  </sheetData>
  <sheetProtection algorithmName="SHA-512" hashValue="I/CjrLSmZozJYyt1zIGQu49s6AiGa8g/de4SZPWMtyvhqYfl51vUb6ZD1lfMdES2VwfN9rztvNRc6JgnN6ZbBQ==" saltValue="90Tf7Rv6vgU5smEP8mew3Q==" spinCount="100000" sheet="1" objects="1" scenarios="1" pivotTables="0"/>
  <mergeCells count="12">
    <mergeCell ref="B6:G7"/>
    <mergeCell ref="K8:M8"/>
    <mergeCell ref="B28:C28"/>
    <mergeCell ref="B29:C29"/>
    <mergeCell ref="B30:C30"/>
    <mergeCell ref="B8:D8"/>
    <mergeCell ref="B19:C19"/>
    <mergeCell ref="B16:D16"/>
    <mergeCell ref="B26:C26"/>
    <mergeCell ref="B27:C27"/>
    <mergeCell ref="B25:E25"/>
    <mergeCell ref="B13:B14"/>
  </mergeCells>
  <phoneticPr fontId="14" type="noConversion"/>
  <hyperlinks>
    <hyperlink ref="M4" location="PRESENTACIÓN!C6" display="INICIO" xr:uid="{00000000-0004-0000-0100-000000000000}"/>
  </hyperlinks>
  <pageMargins left="0.23622047244094491" right="3.937007874015748E-2" top="0.15748031496062992" bottom="0.15748031496062992" header="0.31496062992125984" footer="0.31496062992125984"/>
  <pageSetup orientation="landscape" r:id="rId1"/>
  <ignoredErrors>
    <ignoredError sqref="B9 B11:B12"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BASE!$B$3:$B$127</xm:f>
          </x14:formula1>
          <xm:sqref>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T38"/>
  <sheetViews>
    <sheetView zoomScaleNormal="100" workbookViewId="0">
      <selection activeCell="L4" sqref="L4"/>
    </sheetView>
  </sheetViews>
  <sheetFormatPr baseColWidth="10" defaultColWidth="11.140625" defaultRowHeight="13.5"/>
  <cols>
    <col min="1" max="1" width="6.140625" style="39" customWidth="1"/>
    <col min="2" max="3" width="11.140625" style="39"/>
    <col min="4" max="4" width="12.42578125" style="39" customWidth="1"/>
    <col min="5" max="5" width="11.140625" style="39"/>
    <col min="6" max="6" width="6.140625" style="39" customWidth="1"/>
    <col min="7" max="8" width="11.140625" style="39"/>
    <col min="9" max="9" width="16.5703125" style="39" bestFit="1" customWidth="1"/>
    <col min="10" max="12" width="11.140625" style="39"/>
    <col min="13" max="13" width="11.140625" style="61"/>
    <col min="14" max="14" width="24.28515625" style="64" customWidth="1"/>
    <col min="15" max="15" width="11.140625" style="64"/>
    <col min="16" max="16" width="26.28515625" style="64" customWidth="1"/>
    <col min="17" max="19" width="11.140625" style="64"/>
    <col min="20" max="20" width="11.140625" style="61"/>
    <col min="21" max="16384" width="11.140625" style="39"/>
  </cols>
  <sheetData>
    <row r="1" spans="1:20" ht="18.75" customHeight="1"/>
    <row r="2" spans="1:20" ht="18.75" customHeight="1"/>
    <row r="3" spans="1:20" ht="18.75" customHeight="1"/>
    <row r="4" spans="1:20" ht="18.75" customHeight="1">
      <c r="B4" s="72" t="s">
        <v>3</v>
      </c>
      <c r="C4" s="103"/>
      <c r="D4" s="103"/>
      <c r="E4" s="103"/>
      <c r="F4" s="103"/>
      <c r="G4" s="103"/>
      <c r="H4" s="103"/>
      <c r="I4" s="103"/>
      <c r="J4" s="103"/>
      <c r="K4" s="103"/>
      <c r="L4" s="76" t="s">
        <v>953</v>
      </c>
    </row>
    <row r="5" spans="1:20" ht="18.75" customHeight="1">
      <c r="B5" s="104" t="s">
        <v>656</v>
      </c>
      <c r="C5" s="103"/>
      <c r="D5" s="103"/>
      <c r="E5" s="103"/>
      <c r="F5" s="103"/>
      <c r="G5" s="103"/>
      <c r="H5" s="103"/>
      <c r="I5" s="103"/>
      <c r="J5" s="103"/>
      <c r="K5" s="103"/>
      <c r="L5" s="103"/>
    </row>
    <row r="6" spans="1:20" ht="22.5" customHeight="1">
      <c r="B6" s="286" t="s">
        <v>1038</v>
      </c>
      <c r="C6" s="286"/>
      <c r="D6" s="286"/>
      <c r="E6" s="286"/>
      <c r="F6" s="286"/>
      <c r="G6" s="106"/>
      <c r="H6" s="78" t="s">
        <v>9</v>
      </c>
      <c r="I6" s="79" t="str">
        <f>VLOOKUP('POBLACIÓN TOTAL'!$J$6,BASE!B3:B127,1,0)</f>
        <v>Villa Comaltitlán</v>
      </c>
      <c r="J6" s="107"/>
      <c r="K6" s="107"/>
      <c r="L6" s="108"/>
    </row>
    <row r="7" spans="1:20" ht="18.75" customHeight="1" thickBot="1">
      <c r="B7" s="286"/>
      <c r="C7" s="286"/>
      <c r="D7" s="286"/>
      <c r="E7" s="286"/>
      <c r="F7" s="286"/>
      <c r="G7" s="106"/>
      <c r="H7" s="103"/>
      <c r="I7" s="103"/>
      <c r="J7" s="103"/>
      <c r="K7" s="103"/>
      <c r="L7" s="103"/>
    </row>
    <row r="8" spans="1:20" s="41" customFormat="1" ht="42" customHeight="1" thickBot="1">
      <c r="A8" s="40"/>
      <c r="B8" s="287" t="s">
        <v>487</v>
      </c>
      <c r="C8" s="288"/>
      <c r="D8" s="289"/>
      <c r="E8" s="109"/>
      <c r="F8" s="109"/>
      <c r="G8" s="109"/>
      <c r="H8" s="109"/>
      <c r="I8" s="109"/>
      <c r="J8" s="287" t="s">
        <v>488</v>
      </c>
      <c r="K8" s="288"/>
      <c r="L8" s="289"/>
      <c r="M8" s="62"/>
      <c r="N8" s="294" t="s">
        <v>418</v>
      </c>
      <c r="O8" s="294"/>
      <c r="P8" s="52"/>
      <c r="Q8" s="60" t="s">
        <v>370</v>
      </c>
      <c r="R8" s="52" t="s">
        <v>12</v>
      </c>
      <c r="S8" s="52" t="s">
        <v>13</v>
      </c>
      <c r="T8" s="62"/>
    </row>
    <row r="9" spans="1:20" s="41" customFormat="1" ht="28.5" customHeight="1" thickBot="1">
      <c r="B9" s="110" t="s">
        <v>11</v>
      </c>
      <c r="C9" s="111">
        <f>VLOOKUP(I6,BASE!B3:AU127,46,0)</f>
        <v>191</v>
      </c>
      <c r="D9" s="112" t="s">
        <v>0</v>
      </c>
      <c r="E9" s="113"/>
      <c r="F9" s="113"/>
      <c r="G9" s="113"/>
      <c r="H9" s="113"/>
      <c r="I9" s="113"/>
      <c r="J9" s="85" t="s">
        <v>12</v>
      </c>
      <c r="K9" s="88">
        <f>VLOOKUP(I6,BASE!B3:AV127,47,0)</f>
        <v>130</v>
      </c>
      <c r="L9" s="97">
        <f>K9/C9</f>
        <v>0.68062827225130895</v>
      </c>
      <c r="M9" s="62"/>
      <c r="N9" s="52" t="s">
        <v>390</v>
      </c>
      <c r="O9" s="65">
        <f>VLOOKUP(I6,BASE!B3:AX127,49,0)</f>
        <v>195</v>
      </c>
      <c r="P9" s="52"/>
      <c r="Q9" s="6" t="s">
        <v>474</v>
      </c>
      <c r="R9" s="65">
        <f>VLOOKUP(I6,BASE!B3:BB127,53,0)*-1</f>
        <v>0</v>
      </c>
      <c r="S9" s="65">
        <f>VLOOKUP(I6,BASE!B3:BC127,54,0)</f>
        <v>1</v>
      </c>
      <c r="T9" s="62"/>
    </row>
    <row r="10" spans="1:20" s="41" customFormat="1" ht="28.5" customHeight="1" thickBot="1">
      <c r="B10" s="113"/>
      <c r="C10" s="113"/>
      <c r="D10" s="113"/>
      <c r="E10" s="113"/>
      <c r="F10" s="113"/>
      <c r="G10" s="113"/>
      <c r="H10" s="113"/>
      <c r="I10" s="113"/>
      <c r="J10" s="114" t="s">
        <v>13</v>
      </c>
      <c r="K10" s="99">
        <f>VLOOKUP(I6,BASE!B3:AW127,48,0)</f>
        <v>61</v>
      </c>
      <c r="L10" s="100">
        <f>K10/C9</f>
        <v>0.3193717277486911</v>
      </c>
      <c r="M10" s="62"/>
      <c r="N10" s="52" t="s">
        <v>389</v>
      </c>
      <c r="O10" s="65">
        <f>VLOOKUP(I6,BASE!B3:AY127,50,0)</f>
        <v>179</v>
      </c>
      <c r="P10" s="52"/>
      <c r="Q10" s="8" t="s">
        <v>372</v>
      </c>
      <c r="R10" s="65">
        <f>VLOOKUP(I6,BASE!B3:BD127,55,0)*-1</f>
        <v>-5</v>
      </c>
      <c r="S10" s="65">
        <f>VLOOKUP(I6,BASE!B3:BE127,56,0)</f>
        <v>6</v>
      </c>
      <c r="T10" s="62"/>
    </row>
    <row r="11" spans="1:20" s="41" customFormat="1" ht="28.5" customHeight="1" thickBot="1">
      <c r="B11" s="113"/>
      <c r="C11" s="113"/>
      <c r="D11" s="113"/>
      <c r="E11" s="113"/>
      <c r="F11" s="113"/>
      <c r="G11" s="113"/>
      <c r="H11" s="113"/>
      <c r="I11" s="113"/>
      <c r="J11" s="113"/>
      <c r="K11" s="113"/>
      <c r="L11" s="113"/>
      <c r="M11" s="62"/>
      <c r="N11" s="52">
        <v>2015</v>
      </c>
      <c r="O11" s="65">
        <f>VLOOKUP(I6,BASE!B3:MC127,340,0)</f>
        <v>35</v>
      </c>
      <c r="P11" s="52"/>
      <c r="Q11" s="9" t="s">
        <v>373</v>
      </c>
      <c r="R11" s="65">
        <f>VLOOKUP(I6,BASE!B3:BF127,57,0)*-1</f>
        <v>-7</v>
      </c>
      <c r="S11" s="65">
        <f>VLOOKUP(I6,BASE!B3:BG127,58,0)</f>
        <v>3</v>
      </c>
      <c r="T11" s="62"/>
    </row>
    <row r="12" spans="1:20" s="41" customFormat="1" ht="28.5" customHeight="1">
      <c r="B12" s="113"/>
      <c r="C12" s="113"/>
      <c r="D12" s="113"/>
      <c r="E12" s="113"/>
      <c r="F12" s="113"/>
      <c r="G12" s="290" t="s">
        <v>961</v>
      </c>
      <c r="H12" s="291"/>
      <c r="I12" s="292"/>
      <c r="J12" s="109"/>
      <c r="K12" s="109"/>
      <c r="L12" s="109"/>
      <c r="M12" s="62"/>
      <c r="N12" s="52" t="s">
        <v>388</v>
      </c>
      <c r="O12" s="65">
        <f>VLOOKUP(I6,BASE!B3:AU127,46,0)</f>
        <v>191</v>
      </c>
      <c r="P12" s="52"/>
      <c r="Q12" s="6" t="s">
        <v>374</v>
      </c>
      <c r="R12" s="65">
        <f>VLOOKUP(I6,BASE!B3:BH127,59,0)*-1</f>
        <v>-9</v>
      </c>
      <c r="S12" s="65">
        <f>VLOOKUP(I6,BASE!B3:BI127,60,0)</f>
        <v>3</v>
      </c>
      <c r="T12" s="62"/>
    </row>
    <row r="13" spans="1:20" s="41" customFormat="1" ht="28.5" customHeight="1">
      <c r="B13" s="113"/>
      <c r="C13" s="113"/>
      <c r="D13" s="113"/>
      <c r="E13" s="113"/>
      <c r="F13" s="113"/>
      <c r="G13" s="85" t="s">
        <v>364</v>
      </c>
      <c r="H13" s="88">
        <f>VLOOKUP(I6,BASE!B3:BA127,52,0)</f>
        <v>19</v>
      </c>
      <c r="I13" s="97">
        <f>H13/(H13+H14)</f>
        <v>0.10614525139664804</v>
      </c>
      <c r="J13" s="113"/>
      <c r="K13" s="113"/>
      <c r="L13" s="113"/>
      <c r="M13" s="62"/>
      <c r="N13" s="52"/>
      <c r="O13" s="52"/>
      <c r="P13" s="52"/>
      <c r="Q13" s="6" t="s">
        <v>375</v>
      </c>
      <c r="R13" s="65">
        <f>VLOOKUP(I6,BASE!B3:BJ127,61,0)*-1</f>
        <v>-9</v>
      </c>
      <c r="S13" s="65">
        <f>VLOOKUP(I6,BASE!B3:BK127,62,0)</f>
        <v>4</v>
      </c>
      <c r="T13" s="62"/>
    </row>
    <row r="14" spans="1:20" s="41" customFormat="1" ht="28.5" customHeight="1" thickBot="1">
      <c r="B14" s="113"/>
      <c r="C14" s="113"/>
      <c r="D14" s="113"/>
      <c r="E14" s="113"/>
      <c r="F14" s="113"/>
      <c r="G14" s="114" t="s">
        <v>365</v>
      </c>
      <c r="H14" s="99">
        <f>VLOOKUP(I6,BASE!B3:AZ127,51,0)</f>
        <v>160</v>
      </c>
      <c r="I14" s="100">
        <f>H14/(H14+H13)</f>
        <v>0.8938547486033519</v>
      </c>
      <c r="J14" s="113"/>
      <c r="K14" s="113"/>
      <c r="L14" s="113"/>
      <c r="M14" s="62"/>
      <c r="N14" s="293" t="s">
        <v>4</v>
      </c>
      <c r="O14" s="293"/>
      <c r="P14" s="293"/>
      <c r="Q14" s="6" t="s">
        <v>376</v>
      </c>
      <c r="R14" s="65">
        <f>VLOOKUP(I6,BASE!B3:BL127,63,0)*-1</f>
        <v>-9</v>
      </c>
      <c r="S14" s="65">
        <f>VLOOKUP(I6,BASE!B3:BM127,64,0)</f>
        <v>4</v>
      </c>
      <c r="T14" s="62"/>
    </row>
    <row r="15" spans="1:20" s="41" customFormat="1" ht="28.5" customHeight="1">
      <c r="B15" s="113"/>
      <c r="C15" s="113"/>
      <c r="D15" s="113"/>
      <c r="E15" s="113"/>
      <c r="F15" s="113"/>
      <c r="G15" s="113"/>
      <c r="H15" s="113"/>
      <c r="I15" s="113"/>
      <c r="J15" s="113"/>
      <c r="K15" s="113"/>
      <c r="L15" s="113"/>
      <c r="M15" s="62"/>
      <c r="N15" s="66" t="s">
        <v>1061</v>
      </c>
      <c r="O15" s="65">
        <f>O16+O17</f>
        <v>138</v>
      </c>
      <c r="P15" s="67">
        <f>O15/C9</f>
        <v>0.72251308900523559</v>
      </c>
      <c r="Q15" s="6" t="s">
        <v>377</v>
      </c>
      <c r="R15" s="65">
        <f>VLOOKUP(I6,BASE!B3:BN127,65,0)*-1</f>
        <v>-17</v>
      </c>
      <c r="S15" s="65">
        <f>VLOOKUP(I6,BASE!B3:BO127,66,0)</f>
        <v>7</v>
      </c>
      <c r="T15" s="62"/>
    </row>
    <row r="16" spans="1:20" s="41" customFormat="1" ht="28.5" customHeight="1">
      <c r="B16" s="113"/>
      <c r="C16" s="113"/>
      <c r="D16" s="113"/>
      <c r="E16" s="113"/>
      <c r="F16" s="113"/>
      <c r="G16" s="113"/>
      <c r="H16" s="113"/>
      <c r="I16" s="113"/>
      <c r="J16" s="113"/>
      <c r="K16" s="113"/>
      <c r="L16" s="113"/>
      <c r="M16" s="62"/>
      <c r="N16" s="66" t="s">
        <v>483</v>
      </c>
      <c r="O16" s="65">
        <f>VLOOKUP(I6,BASE!B3:CD127,81,0)</f>
        <v>79</v>
      </c>
      <c r="P16" s="67">
        <f>O16/O15</f>
        <v>0.57246376811594202</v>
      </c>
      <c r="Q16" s="6" t="s">
        <v>378</v>
      </c>
      <c r="R16" s="65">
        <f>VLOOKUP(I6,BASE!B3:BP127,67,0)*-1</f>
        <v>-9</v>
      </c>
      <c r="S16" s="65">
        <f>VLOOKUP(I6,BASE!B3:BQ127,68,0)</f>
        <v>3</v>
      </c>
      <c r="T16" s="62"/>
    </row>
    <row r="17" spans="2:20" s="41" customFormat="1" ht="28.5" customHeight="1">
      <c r="B17" s="113"/>
      <c r="C17" s="113"/>
      <c r="D17" s="113"/>
      <c r="E17" s="113"/>
      <c r="F17" s="113"/>
      <c r="G17" s="113"/>
      <c r="H17" s="113"/>
      <c r="I17" s="113"/>
      <c r="J17" s="113"/>
      <c r="K17" s="113"/>
      <c r="L17" s="113"/>
      <c r="M17" s="62"/>
      <c r="N17" s="66" t="s">
        <v>484</v>
      </c>
      <c r="O17" s="65">
        <f>VLOOKUP(I6,BASE!B3:CE127,82,0)</f>
        <v>59</v>
      </c>
      <c r="P17" s="67">
        <f>O17/O15</f>
        <v>0.42753623188405798</v>
      </c>
      <c r="Q17" s="6" t="s">
        <v>379</v>
      </c>
      <c r="R17" s="65">
        <f>VLOOKUP(I6,BASE!B3:BR127,69,0)*-1</f>
        <v>-10</v>
      </c>
      <c r="S17" s="65">
        <f>VLOOKUP(I6,BASE!B3:BS127,70,0)</f>
        <v>8</v>
      </c>
      <c r="T17" s="62"/>
    </row>
    <row r="18" spans="2:20" ht="27.75" customHeight="1">
      <c r="B18" s="103"/>
      <c r="C18" s="103"/>
      <c r="D18" s="103"/>
      <c r="E18" s="103"/>
      <c r="F18" s="103"/>
      <c r="G18" s="103"/>
      <c r="H18" s="103"/>
      <c r="I18" s="103"/>
      <c r="J18" s="103"/>
      <c r="K18" s="103"/>
      <c r="L18" s="103"/>
      <c r="N18" s="66" t="s">
        <v>1062</v>
      </c>
      <c r="O18" s="65">
        <f>O19+O20</f>
        <v>4</v>
      </c>
      <c r="P18" s="67">
        <f>O18/C9</f>
        <v>2.0942408376963352E-2</v>
      </c>
      <c r="Q18" s="6" t="s">
        <v>380</v>
      </c>
      <c r="R18" s="65">
        <f>VLOOKUP(I6,BASE!B3:BT127,71,0)*-1</f>
        <v>-13</v>
      </c>
      <c r="S18" s="65">
        <f>VLOOKUP(I6,BASE!B3:BU127,72,0)</f>
        <v>7</v>
      </c>
    </row>
    <row r="19" spans="2:20" ht="27.75" customHeight="1">
      <c r="B19" s="103"/>
      <c r="C19" s="103"/>
      <c r="D19" s="103"/>
      <c r="E19" s="103"/>
      <c r="F19" s="103"/>
      <c r="G19" s="103"/>
      <c r="H19" s="103"/>
      <c r="I19" s="103"/>
      <c r="J19" s="103"/>
      <c r="K19" s="103"/>
      <c r="L19" s="103"/>
      <c r="N19" s="66" t="s">
        <v>485</v>
      </c>
      <c r="O19" s="65">
        <f>VLOOKUP(I6,BASE!B3:CF127,83,0)</f>
        <v>3</v>
      </c>
      <c r="P19" s="67">
        <f>O19/O18</f>
        <v>0.75</v>
      </c>
      <c r="Q19" s="6" t="s">
        <v>381</v>
      </c>
      <c r="R19" s="65">
        <f>VLOOKUP(I6,BASE!B3:BV127,73,0)*-1</f>
        <v>-10</v>
      </c>
      <c r="S19" s="65">
        <f>VLOOKUP(I6,BASE!B3:BW127,74,0)</f>
        <v>2</v>
      </c>
    </row>
    <row r="20" spans="2:20" ht="27.75" customHeight="1">
      <c r="B20" s="103"/>
      <c r="C20" s="103"/>
      <c r="D20" s="103"/>
      <c r="E20" s="103"/>
      <c r="F20" s="103"/>
      <c r="G20" s="103"/>
      <c r="H20" s="103"/>
      <c r="I20" s="103"/>
      <c r="J20" s="103"/>
      <c r="K20" s="103"/>
      <c r="L20" s="103"/>
      <c r="N20" s="66" t="s">
        <v>486</v>
      </c>
      <c r="O20" s="65">
        <f>VLOOKUP(I6,BASE!B3:CG127,84,0)</f>
        <v>1</v>
      </c>
      <c r="P20" s="67">
        <f>O20/O18</f>
        <v>0.25</v>
      </c>
      <c r="Q20" s="6" t="s">
        <v>382</v>
      </c>
      <c r="R20" s="65">
        <f>VLOOKUP(I6,BASE!B3:BX127,75,0)*-1</f>
        <v>-5</v>
      </c>
      <c r="S20" s="65">
        <f>VLOOKUP(I6,BASE!B3:BY127,76,0)</f>
        <v>1</v>
      </c>
    </row>
    <row r="21" spans="2:20" ht="27.75" customHeight="1">
      <c r="B21" s="103"/>
      <c r="C21" s="103"/>
      <c r="D21" s="103"/>
      <c r="E21" s="103"/>
      <c r="F21" s="103"/>
      <c r="G21" s="103"/>
      <c r="H21" s="103"/>
      <c r="I21" s="103"/>
      <c r="J21" s="103"/>
      <c r="K21" s="103"/>
      <c r="L21" s="103"/>
      <c r="Q21" s="6" t="s">
        <v>383</v>
      </c>
      <c r="R21" s="65">
        <f>VLOOKUP(I6,BASE!B3:BZ127,77,0)*-1</f>
        <v>-5</v>
      </c>
      <c r="S21" s="65">
        <f>VLOOKUP(I6,BASE!B3:CA127,78,0)</f>
        <v>1</v>
      </c>
    </row>
    <row r="22" spans="2:20" ht="27.75" customHeight="1">
      <c r="B22" s="103"/>
      <c r="C22" s="103"/>
      <c r="D22" s="103"/>
      <c r="E22" s="103"/>
      <c r="F22" s="103"/>
      <c r="G22" s="103"/>
      <c r="H22" s="103"/>
      <c r="I22" s="103"/>
      <c r="J22" s="103"/>
      <c r="K22" s="103"/>
      <c r="L22" s="103"/>
      <c r="Q22" s="6" t="s">
        <v>384</v>
      </c>
      <c r="R22" s="65">
        <f>VLOOKUP(I6,BASE!B3:CB127,79,0)*-1</f>
        <v>-22</v>
      </c>
      <c r="S22" s="65">
        <f>VLOOKUP(I6,BASE!B3:CC127,80,0)</f>
        <v>11</v>
      </c>
    </row>
    <row r="23" spans="2:20" ht="27.75" customHeight="1">
      <c r="B23" s="103"/>
      <c r="C23" s="103"/>
      <c r="D23" s="103"/>
      <c r="E23" s="103"/>
      <c r="F23" s="103"/>
      <c r="G23" s="103"/>
      <c r="H23" s="103"/>
      <c r="I23" s="103"/>
      <c r="J23" s="103"/>
      <c r="K23" s="103"/>
      <c r="L23" s="103"/>
    </row>
    <row r="24" spans="2:20">
      <c r="B24" s="103"/>
      <c r="C24" s="103"/>
      <c r="D24" s="103"/>
      <c r="E24" s="103"/>
      <c r="F24" s="103"/>
      <c r="G24" s="103"/>
      <c r="H24" s="103"/>
      <c r="I24" s="103"/>
      <c r="J24" s="103"/>
      <c r="K24" s="103"/>
      <c r="L24" s="103"/>
    </row>
    <row r="25" spans="2:20">
      <c r="B25" s="103"/>
      <c r="C25" s="103"/>
      <c r="D25" s="103"/>
      <c r="E25" s="103"/>
      <c r="F25" s="103"/>
      <c r="G25" s="103"/>
      <c r="H25" s="103"/>
      <c r="I25" s="103"/>
      <c r="J25" s="103"/>
      <c r="K25" s="103"/>
      <c r="L25" s="103"/>
    </row>
    <row r="26" spans="2:20">
      <c r="B26" s="103"/>
      <c r="C26" s="103"/>
      <c r="D26" s="103"/>
      <c r="E26" s="103"/>
      <c r="F26" s="103"/>
      <c r="G26" s="103"/>
      <c r="H26" s="103"/>
      <c r="I26" s="103"/>
      <c r="J26" s="103"/>
      <c r="K26" s="103"/>
      <c r="L26" s="103"/>
    </row>
    <row r="27" spans="2:20">
      <c r="B27" s="103"/>
      <c r="C27" s="103"/>
      <c r="D27" s="103"/>
      <c r="E27" s="103"/>
      <c r="F27" s="103"/>
      <c r="G27" s="103"/>
      <c r="H27" s="103"/>
      <c r="I27" s="103"/>
      <c r="J27" s="103"/>
      <c r="K27" s="103"/>
      <c r="L27" s="103"/>
    </row>
    <row r="28" spans="2:20">
      <c r="B28" s="103"/>
      <c r="C28" s="103"/>
      <c r="D28" s="103"/>
      <c r="E28" s="103"/>
      <c r="F28" s="103"/>
      <c r="G28" s="103"/>
      <c r="H28" s="103"/>
      <c r="I28" s="103"/>
      <c r="J28" s="103"/>
      <c r="K28" s="103"/>
      <c r="L28" s="103"/>
    </row>
    <row r="29" spans="2:20">
      <c r="B29" s="103"/>
      <c r="C29" s="103"/>
      <c r="D29" s="103"/>
      <c r="E29" s="103"/>
      <c r="F29" s="103"/>
      <c r="G29" s="103"/>
      <c r="H29" s="103"/>
      <c r="I29" s="103"/>
      <c r="J29" s="103"/>
      <c r="K29" s="103"/>
      <c r="L29" s="103"/>
    </row>
    <row r="30" spans="2:20">
      <c r="B30" s="103"/>
      <c r="C30" s="103"/>
      <c r="D30" s="103"/>
      <c r="E30" s="103"/>
      <c r="F30" s="103"/>
      <c r="G30" s="103"/>
      <c r="H30" s="103"/>
      <c r="I30" s="103"/>
      <c r="J30" s="103"/>
      <c r="K30" s="103"/>
      <c r="L30" s="103"/>
    </row>
    <row r="31" spans="2:20">
      <c r="B31" s="103"/>
      <c r="C31" s="103"/>
      <c r="D31" s="103"/>
      <c r="E31" s="103"/>
      <c r="F31" s="103"/>
      <c r="G31" s="103"/>
      <c r="H31" s="103"/>
      <c r="I31" s="103"/>
      <c r="J31" s="103"/>
      <c r="K31" s="103"/>
      <c r="L31" s="103"/>
    </row>
    <row r="32" spans="2:20">
      <c r="B32" s="103"/>
      <c r="C32" s="103"/>
      <c r="D32" s="103"/>
      <c r="E32" s="103"/>
      <c r="F32" s="103"/>
      <c r="G32" s="103"/>
      <c r="H32" s="103"/>
      <c r="I32" s="103"/>
      <c r="J32" s="103"/>
      <c r="K32" s="103"/>
      <c r="L32" s="103"/>
    </row>
    <row r="33" spans="2:12">
      <c r="B33" s="103"/>
      <c r="C33" s="103"/>
      <c r="D33" s="103"/>
      <c r="E33" s="103"/>
      <c r="F33" s="103"/>
      <c r="G33" s="103"/>
      <c r="H33" s="103"/>
      <c r="I33" s="103"/>
      <c r="J33" s="103"/>
      <c r="K33" s="103"/>
      <c r="L33" s="103"/>
    </row>
    <row r="34" spans="2:12">
      <c r="B34" s="103"/>
      <c r="C34" s="103"/>
      <c r="D34" s="103"/>
      <c r="E34" s="103"/>
      <c r="F34" s="103"/>
      <c r="G34" s="103"/>
      <c r="H34" s="103"/>
      <c r="I34" s="103"/>
      <c r="J34" s="103"/>
      <c r="K34" s="103"/>
      <c r="L34" s="103"/>
    </row>
    <row r="35" spans="2:12">
      <c r="B35" s="103"/>
      <c r="C35" s="103"/>
      <c r="D35" s="103"/>
      <c r="E35" s="103"/>
      <c r="F35" s="103"/>
      <c r="G35" s="103"/>
      <c r="H35" s="103"/>
      <c r="I35" s="103"/>
      <c r="J35" s="103"/>
      <c r="K35" s="103"/>
      <c r="L35" s="103"/>
    </row>
    <row r="36" spans="2:12">
      <c r="B36" s="103"/>
      <c r="C36" s="103"/>
      <c r="D36" s="103"/>
      <c r="E36" s="103"/>
      <c r="F36" s="103"/>
      <c r="G36" s="103"/>
      <c r="H36" s="103"/>
      <c r="I36" s="103"/>
      <c r="J36" s="103"/>
      <c r="K36" s="103"/>
      <c r="L36" s="103"/>
    </row>
    <row r="37" spans="2:12">
      <c r="B37" s="103"/>
      <c r="C37" s="103"/>
      <c r="D37" s="103"/>
      <c r="E37" s="103"/>
      <c r="F37" s="103"/>
      <c r="G37" s="103"/>
      <c r="H37" s="103"/>
      <c r="I37" s="103"/>
      <c r="J37" s="103"/>
      <c r="K37" s="103"/>
      <c r="L37" s="103"/>
    </row>
    <row r="38" spans="2:12">
      <c r="B38" s="103"/>
      <c r="C38" s="103"/>
      <c r="D38" s="103"/>
      <c r="E38" s="103"/>
      <c r="F38" s="103"/>
      <c r="G38" s="103"/>
      <c r="H38" s="103"/>
      <c r="I38" s="103"/>
      <c r="J38" s="103"/>
      <c r="K38" s="103"/>
      <c r="L38" s="103"/>
    </row>
  </sheetData>
  <sheetProtection algorithmName="SHA-512" hashValue="7t1Q0P2PiT+wZXgvL/oTrvWAuwU6Z2D4wPtJcp6ngg8Gd11/EIGErHDucz009O9BcCh6SxUzkgAxhKlGgzjmJw==" saltValue="ZEsPkvNGm92Zo+iUkxFRlA==" spinCount="100000" sheet="1" objects="1" scenarios="1"/>
  <mergeCells count="6">
    <mergeCell ref="B6:F7"/>
    <mergeCell ref="B8:D8"/>
    <mergeCell ref="J8:L8"/>
    <mergeCell ref="G12:I12"/>
    <mergeCell ref="N14:P14"/>
    <mergeCell ref="N8:O8"/>
  </mergeCells>
  <hyperlinks>
    <hyperlink ref="L4" location="PRESENTACIÓN!C6" display="INICIO" xr:uid="{00000000-0004-0000-0200-000000000000}"/>
  </hyperlinks>
  <pageMargins left="0.43307086614173229" right="0.23622047244094491" top="0" bottom="0" header="0" footer="0"/>
  <pageSetup orientation="landscape" r:id="rId1"/>
  <ignoredErrors>
    <ignoredError sqref="N9:N10 N12" numberStoredAsText="1"/>
    <ignoredError sqref="P19:P20"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32"/>
  <sheetViews>
    <sheetView topLeftCell="A4" zoomScaleNormal="100" workbookViewId="0">
      <selection activeCell="L19" sqref="L19"/>
    </sheetView>
  </sheetViews>
  <sheetFormatPr baseColWidth="10" defaultRowHeight="22.5" customHeight="1"/>
  <cols>
    <col min="1" max="1" width="5.85546875" style="12" customWidth="1"/>
    <col min="2" max="2" width="20.28515625" style="12" customWidth="1"/>
    <col min="3" max="3" width="13.140625" style="12" customWidth="1"/>
    <col min="4" max="4" width="10.28515625" style="12" customWidth="1"/>
    <col min="5" max="5" width="5.5703125" style="12" customWidth="1"/>
    <col min="6" max="6" width="25.85546875" style="12" customWidth="1"/>
    <col min="7" max="7" width="14" style="12" customWidth="1"/>
    <col min="8" max="8" width="14.42578125" style="12" customWidth="1"/>
    <col min="9" max="9" width="13.7109375" style="12" customWidth="1"/>
    <col min="10" max="10" width="12.28515625" style="12" customWidth="1"/>
    <col min="11" max="16384" width="11.42578125" style="12"/>
  </cols>
  <sheetData>
    <row r="1" spans="2:9" ht="18.75" customHeight="1"/>
    <row r="2" spans="2:9" ht="18.75" customHeight="1"/>
    <row r="3" spans="2:9" ht="18.75" customHeight="1"/>
    <row r="4" spans="2:9" ht="18.75" customHeight="1">
      <c r="B4" s="72" t="s">
        <v>3</v>
      </c>
      <c r="C4" s="115"/>
      <c r="D4" s="115"/>
      <c r="E4" s="115"/>
      <c r="F4" s="115"/>
      <c r="G4" s="115"/>
      <c r="H4" s="116"/>
      <c r="I4" s="76" t="s">
        <v>953</v>
      </c>
    </row>
    <row r="5" spans="2:9" ht="18.75" customHeight="1">
      <c r="B5" s="77" t="s">
        <v>6</v>
      </c>
      <c r="C5" s="115"/>
      <c r="D5" s="115"/>
      <c r="E5" s="115"/>
      <c r="F5" s="115"/>
      <c r="G5" s="115"/>
      <c r="H5" s="116"/>
      <c r="I5" s="116"/>
    </row>
    <row r="6" spans="2:9" ht="21" customHeight="1">
      <c r="B6" s="117" t="s">
        <v>594</v>
      </c>
      <c r="C6" s="115"/>
      <c r="D6" s="115"/>
      <c r="E6" s="115"/>
      <c r="F6" s="78" t="s">
        <v>9</v>
      </c>
      <c r="G6" s="79" t="str">
        <f>VLOOKUP('POBLACIÓN TOTAL'!J6,BASE!B3:B127,1,0)</f>
        <v>Villa Comaltitlán</v>
      </c>
      <c r="H6" s="118"/>
      <c r="I6" s="107"/>
    </row>
    <row r="7" spans="2:9" ht="21" customHeight="1" thickBot="1">
      <c r="B7" s="116"/>
      <c r="C7" s="116"/>
      <c r="D7" s="116"/>
      <c r="E7" s="116"/>
      <c r="F7" s="116"/>
      <c r="G7" s="116"/>
      <c r="H7" s="116"/>
      <c r="I7" s="116"/>
    </row>
    <row r="8" spans="2:9" s="11" customFormat="1" ht="21" customHeight="1">
      <c r="B8" s="290" t="s">
        <v>492</v>
      </c>
      <c r="C8" s="291"/>
      <c r="D8" s="292"/>
      <c r="E8" s="74"/>
      <c r="F8" s="290" t="s">
        <v>493</v>
      </c>
      <c r="G8" s="291"/>
      <c r="H8" s="292"/>
      <c r="I8" s="119"/>
    </row>
    <row r="9" spans="2:9" s="11" customFormat="1" ht="18.95" customHeight="1">
      <c r="B9" s="120" t="s">
        <v>11</v>
      </c>
      <c r="C9" s="121">
        <f>C10+C11</f>
        <v>7679</v>
      </c>
      <c r="D9" s="122" t="s">
        <v>508</v>
      </c>
      <c r="E9" s="74"/>
      <c r="F9" s="120" t="s">
        <v>11</v>
      </c>
      <c r="G9" s="121">
        <f>G10+G11</f>
        <v>29099</v>
      </c>
      <c r="H9" s="122" t="s">
        <v>361</v>
      </c>
      <c r="I9" s="74"/>
    </row>
    <row r="10" spans="2:9" s="11" customFormat="1" ht="18.95" customHeight="1">
      <c r="B10" s="123" t="s">
        <v>490</v>
      </c>
      <c r="C10" s="124">
        <f>VLOOKUP(G6,BASE!B3:CI127,86,0)</f>
        <v>2379</v>
      </c>
      <c r="D10" s="125">
        <f>C10/C9</f>
        <v>0.30980596431827062</v>
      </c>
      <c r="E10" s="74"/>
      <c r="F10" s="126" t="s">
        <v>490</v>
      </c>
      <c r="G10" s="124">
        <f>VLOOKUP(G6,BASE!B3:CK127,88,0)</f>
        <v>8387</v>
      </c>
      <c r="H10" s="125">
        <f>G10/G9</f>
        <v>0.28822296298841887</v>
      </c>
      <c r="I10" s="74"/>
    </row>
    <row r="11" spans="2:9" s="11" customFormat="1" ht="18.95" customHeight="1" thickBot="1">
      <c r="B11" s="127" t="s">
        <v>491</v>
      </c>
      <c r="C11" s="128">
        <f>VLOOKUP(G6,BASE!B3:CH127,85,0)</f>
        <v>5300</v>
      </c>
      <c r="D11" s="129">
        <f>C11/C9</f>
        <v>0.69019403568172943</v>
      </c>
      <c r="E11" s="74"/>
      <c r="F11" s="130" t="s">
        <v>491</v>
      </c>
      <c r="G11" s="128">
        <f>VLOOKUP(G6,BASE!B3:CJ127,87,0)</f>
        <v>20712</v>
      </c>
      <c r="H11" s="129">
        <f>G11/G9</f>
        <v>0.71177703701158113</v>
      </c>
      <c r="I11" s="74"/>
    </row>
    <row r="12" spans="2:9" s="11" customFormat="1" ht="18.95" customHeight="1">
      <c r="B12" s="74"/>
      <c r="C12" s="74"/>
      <c r="D12" s="74"/>
      <c r="E12" s="74"/>
      <c r="F12" s="74"/>
      <c r="G12" s="74"/>
      <c r="H12" s="74"/>
      <c r="I12" s="74"/>
    </row>
    <row r="13" spans="2:9" s="11" customFormat="1" ht="18.95" customHeight="1">
      <c r="B13" s="74"/>
      <c r="C13" s="74"/>
      <c r="D13" s="74"/>
      <c r="E13" s="74"/>
      <c r="F13" s="74"/>
      <c r="G13" s="74"/>
      <c r="H13" s="74"/>
      <c r="I13" s="74"/>
    </row>
    <row r="14" spans="2:9" s="11" customFormat="1" ht="18.95" customHeight="1">
      <c r="B14" s="74"/>
      <c r="C14" s="74"/>
      <c r="D14" s="74"/>
      <c r="E14" s="74"/>
      <c r="F14" s="74"/>
      <c r="G14" s="74"/>
      <c r="H14" s="74"/>
      <c r="I14" s="74"/>
    </row>
    <row r="15" spans="2:9" s="11" customFormat="1" ht="18.95" customHeight="1" thickBot="1">
      <c r="B15" s="74"/>
      <c r="C15" s="74"/>
      <c r="D15" s="74"/>
      <c r="E15" s="74"/>
      <c r="F15" s="74"/>
      <c r="G15" s="74"/>
      <c r="H15" s="74"/>
      <c r="I15" s="74"/>
    </row>
    <row r="16" spans="2:9" s="11" customFormat="1" ht="32.25" customHeight="1">
      <c r="B16" s="74"/>
      <c r="C16" s="74"/>
      <c r="D16" s="74"/>
      <c r="E16" s="74"/>
      <c r="F16" s="74"/>
      <c r="G16" s="287" t="s">
        <v>551</v>
      </c>
      <c r="H16" s="288"/>
      <c r="I16" s="289"/>
    </row>
    <row r="17" spans="1:9" s="11" customFormat="1" ht="21" customHeight="1">
      <c r="B17" s="74"/>
      <c r="C17" s="74"/>
      <c r="D17" s="74"/>
      <c r="E17" s="74"/>
      <c r="F17" s="74"/>
      <c r="G17" s="297" t="s">
        <v>552</v>
      </c>
      <c r="H17" s="266"/>
      <c r="I17" s="132">
        <f>VLOOKUP(G6,BASE!B3:CR127,95,0)</f>
        <v>5159</v>
      </c>
    </row>
    <row r="18" spans="1:9" s="11" customFormat="1" ht="21" customHeight="1" thickBot="1">
      <c r="B18" s="74"/>
      <c r="C18" s="74"/>
      <c r="D18" s="74"/>
      <c r="E18" s="74"/>
      <c r="F18" s="74"/>
      <c r="G18" s="298" t="s">
        <v>553</v>
      </c>
      <c r="H18" s="299"/>
      <c r="I18" s="133">
        <f>VLOOKUP(G6,BASE!B3:CS127,96,0)</f>
        <v>11688</v>
      </c>
    </row>
    <row r="19" spans="1:9" s="11" customFormat="1" ht="27.75" customHeight="1">
      <c r="A19" s="1"/>
      <c r="B19" s="287" t="s">
        <v>954</v>
      </c>
      <c r="C19" s="289"/>
      <c r="D19" s="119"/>
      <c r="E19" s="74"/>
      <c r="F19" s="119"/>
      <c r="G19" s="297" t="s">
        <v>554</v>
      </c>
      <c r="H19" s="266"/>
      <c r="I19" s="132">
        <f>VLOOKUP(G6,BASE!B3:CT127,97,0)</f>
        <v>2582</v>
      </c>
    </row>
    <row r="20" spans="1:9" s="11" customFormat="1" ht="21" customHeight="1">
      <c r="B20" s="134" t="s">
        <v>494</v>
      </c>
      <c r="C20" s="132">
        <f>VLOOKUP(G6,BASE!B3:CL127,89,0)</f>
        <v>874</v>
      </c>
      <c r="D20" s="74"/>
      <c r="E20" s="74"/>
      <c r="F20" s="74"/>
      <c r="G20" s="298" t="s">
        <v>555</v>
      </c>
      <c r="H20" s="299"/>
      <c r="I20" s="133">
        <f>VLOOKUP(G6,BASE!B3:CU127,98,0)</f>
        <v>705</v>
      </c>
    </row>
    <row r="21" spans="1:9" s="11" customFormat="1" ht="21" customHeight="1">
      <c r="B21" s="123" t="s">
        <v>495</v>
      </c>
      <c r="C21" s="133">
        <f>VLOOKUP(G6,BASE!B3:CM127,90,0)</f>
        <v>1285</v>
      </c>
      <c r="D21" s="74"/>
      <c r="E21" s="74"/>
      <c r="F21" s="74"/>
      <c r="G21" s="297" t="s">
        <v>556</v>
      </c>
      <c r="H21" s="266"/>
      <c r="I21" s="132">
        <f>VLOOKUP(G6,BASE!B3:CV127,99,0)</f>
        <v>323</v>
      </c>
    </row>
    <row r="22" spans="1:9" s="11" customFormat="1" ht="21" customHeight="1">
      <c r="B22" s="131" t="s">
        <v>496</v>
      </c>
      <c r="C22" s="132">
        <f>VLOOKUP(G6,BASE!B3:CN127,91,0)</f>
        <v>1517</v>
      </c>
      <c r="D22" s="74"/>
      <c r="E22" s="74"/>
      <c r="F22" s="74"/>
      <c r="G22" s="298" t="s">
        <v>557</v>
      </c>
      <c r="H22" s="299"/>
      <c r="I22" s="133">
        <f>VLOOKUP(G6,BASE!B3:CW127,100,0)</f>
        <v>851</v>
      </c>
    </row>
    <row r="23" spans="1:9" s="11" customFormat="1" ht="21" customHeight="1" thickBot="1">
      <c r="B23" s="123" t="s">
        <v>497</v>
      </c>
      <c r="C23" s="133">
        <f>VLOOKUP(G6,BASE!B3:CO127,92,0)</f>
        <v>1555</v>
      </c>
      <c r="D23" s="74"/>
      <c r="E23" s="74"/>
      <c r="F23" s="74"/>
      <c r="G23" s="295" t="s">
        <v>558</v>
      </c>
      <c r="H23" s="296"/>
      <c r="I23" s="135">
        <f>VLOOKUP(G6,BASE!B3:CX127,101,0)</f>
        <v>111</v>
      </c>
    </row>
    <row r="24" spans="1:9" s="11" customFormat="1" ht="21" customHeight="1" thickBot="1">
      <c r="B24" s="131" t="s">
        <v>498</v>
      </c>
      <c r="C24" s="132">
        <f>VLOOKUP(G6,BASE!B3:CP127,93,0)</f>
        <v>1156</v>
      </c>
      <c r="D24" s="74"/>
      <c r="E24" s="74"/>
      <c r="F24" s="74"/>
      <c r="G24" s="74"/>
      <c r="H24" s="136"/>
      <c r="I24" s="137"/>
    </row>
    <row r="25" spans="1:9" s="11" customFormat="1" ht="30" customHeight="1" thickBot="1">
      <c r="B25" s="138" t="s">
        <v>499</v>
      </c>
      <c r="C25" s="139">
        <f>VLOOKUP(G6,BASE!B3:CQ127,94,0)</f>
        <v>1292</v>
      </c>
      <c r="D25" s="74"/>
      <c r="E25" s="74"/>
      <c r="F25" s="74"/>
      <c r="G25" s="74"/>
      <c r="H25" s="74"/>
      <c r="I25" s="74"/>
    </row>
    <row r="26" spans="1:9" s="11" customFormat="1" ht="22.5" customHeight="1"/>
    <row r="27" spans="1:9" s="14" customFormat="1" ht="22.5" customHeight="1">
      <c r="F27" s="14" t="s">
        <v>5</v>
      </c>
      <c r="G27" s="16">
        <f>SUM(G28:G32)</f>
        <v>7678</v>
      </c>
      <c r="H27" s="14" t="s">
        <v>545</v>
      </c>
    </row>
    <row r="28" spans="1:9" s="15" customFormat="1" ht="22.5" customHeight="1">
      <c r="F28" s="17" t="s">
        <v>546</v>
      </c>
      <c r="G28" s="16">
        <f>VLOOKUP(G6,BASE!B3:CY127,102,0)</f>
        <v>4654</v>
      </c>
      <c r="H28" s="18">
        <f>G28/G27</f>
        <v>0.60614743422766348</v>
      </c>
    </row>
    <row r="29" spans="1:9" s="15" customFormat="1" ht="22.5" customHeight="1">
      <c r="F29" s="17" t="s">
        <v>547</v>
      </c>
      <c r="G29" s="16">
        <f>VLOOKUP(G6,BASE!B3:CZ127,103,0)</f>
        <v>2070</v>
      </c>
      <c r="H29" s="18">
        <f>G29/G27</f>
        <v>0.26960145871320657</v>
      </c>
    </row>
    <row r="30" spans="1:9" s="15" customFormat="1" ht="22.5" customHeight="1">
      <c r="F30" s="17" t="s">
        <v>548</v>
      </c>
      <c r="G30" s="16">
        <f>VLOOKUP(G6,BASE!B3:DA127,104,0)</f>
        <v>62</v>
      </c>
      <c r="H30" s="18">
        <f>G30/G27</f>
        <v>8.0750195363375882E-3</v>
      </c>
    </row>
    <row r="31" spans="1:9" s="15" customFormat="1" ht="22.5" customHeight="1">
      <c r="F31" s="17" t="s">
        <v>549</v>
      </c>
      <c r="G31" s="16">
        <f>VLOOKUP(G6,BASE!B3:DB127,105,0)</f>
        <v>874</v>
      </c>
      <c r="H31" s="18">
        <f>G31/G27</f>
        <v>0.11383172701224277</v>
      </c>
    </row>
    <row r="32" spans="1:9" s="15" customFormat="1" ht="22.5" customHeight="1">
      <c r="F32" s="17" t="s">
        <v>550</v>
      </c>
      <c r="G32" s="16">
        <f>VLOOKUP(G6,BASE!B3:DC127,106,0)</f>
        <v>18</v>
      </c>
      <c r="H32" s="18">
        <f>G32/G27</f>
        <v>2.3443605105496223E-3</v>
      </c>
    </row>
  </sheetData>
  <sheetProtection algorithmName="SHA-512" hashValue="F4wCB2LxvRe33Mxu8GV944ATOZ6duz+L5EIK6OLjC9Zgg7UpOZCxXAQE7IibXA0qjzqIsDa1x4AloLIuw24jgg==" saltValue="g9LTAIw25RN0NFIHTmomUQ==" spinCount="100000" sheet="1" objects="1" scenarios="1"/>
  <mergeCells count="11">
    <mergeCell ref="B8:D8"/>
    <mergeCell ref="G23:H23"/>
    <mergeCell ref="B19:C19"/>
    <mergeCell ref="G17:H17"/>
    <mergeCell ref="G18:H18"/>
    <mergeCell ref="G16:I16"/>
    <mergeCell ref="G19:H19"/>
    <mergeCell ref="G20:H20"/>
    <mergeCell ref="G21:H21"/>
    <mergeCell ref="G22:H22"/>
    <mergeCell ref="F8:H8"/>
  </mergeCells>
  <phoneticPr fontId="14" type="noConversion"/>
  <hyperlinks>
    <hyperlink ref="I4" location="PRESENTACIÓN!C6" display="INICIO" xr:uid="{00000000-0004-0000-0300-000000000000}"/>
  </hyperlinks>
  <pageMargins left="0.43307086614173229" right="0.23622047244094491" top="0.15748031496062992" bottom="0.15748031496062992"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Q50"/>
  <sheetViews>
    <sheetView zoomScaleNormal="100" workbookViewId="0">
      <selection activeCell="I52" sqref="I52"/>
    </sheetView>
  </sheetViews>
  <sheetFormatPr baseColWidth="10" defaultRowHeight="12"/>
  <cols>
    <col min="1" max="1" width="6" style="12" customWidth="1"/>
    <col min="2" max="2" width="41.7109375" style="19" customWidth="1"/>
    <col min="3" max="3" width="11.85546875" style="12" customWidth="1"/>
    <col min="4" max="4" width="14.42578125" style="12" customWidth="1"/>
    <col min="5" max="5" width="12.28515625" style="12" customWidth="1"/>
    <col min="6" max="6" width="14.5703125" style="12" customWidth="1"/>
    <col min="7" max="7" width="28.140625" style="12" customWidth="1"/>
    <col min="8" max="16384" width="11.42578125" style="12"/>
  </cols>
  <sheetData>
    <row r="1" spans="2:12" ht="18.75" customHeight="1"/>
    <row r="2" spans="2:12" ht="18.75" customHeight="1"/>
    <row r="3" spans="2:12" ht="18.75" customHeight="1"/>
    <row r="4" spans="2:12" ht="18" customHeight="1">
      <c r="B4" s="72" t="s">
        <v>3</v>
      </c>
      <c r="C4" s="115"/>
      <c r="D4" s="115"/>
      <c r="E4" s="115"/>
      <c r="F4" s="115"/>
      <c r="G4" s="115"/>
      <c r="H4" s="76" t="s">
        <v>953</v>
      </c>
      <c r="I4" s="116"/>
      <c r="J4" s="116"/>
      <c r="K4" s="116"/>
      <c r="L4" s="116"/>
    </row>
    <row r="5" spans="2:12" ht="18" customHeight="1">
      <c r="B5" s="77" t="s">
        <v>1</v>
      </c>
      <c r="C5" s="115"/>
      <c r="D5" s="115"/>
      <c r="E5" s="115"/>
      <c r="F5" s="115"/>
      <c r="G5" s="115"/>
      <c r="H5" s="116"/>
      <c r="I5" s="116"/>
      <c r="J5" s="116"/>
      <c r="K5" s="116"/>
      <c r="L5" s="116"/>
    </row>
    <row r="6" spans="2:12" ht="22.5" customHeight="1">
      <c r="B6" s="105" t="s">
        <v>559</v>
      </c>
      <c r="C6" s="115"/>
      <c r="D6" s="78" t="s">
        <v>9</v>
      </c>
      <c r="E6" s="140" t="str">
        <f>VLOOKUP('POBLACIÓN TOTAL'!J6,BASE!B3:B127,1,0)</f>
        <v>Villa Comaltitlán</v>
      </c>
      <c r="F6" s="141"/>
      <c r="G6" s="141"/>
      <c r="H6" s="118"/>
      <c r="I6" s="116"/>
      <c r="J6" s="116"/>
      <c r="K6" s="116"/>
      <c r="L6" s="116"/>
    </row>
    <row r="7" spans="2:12" ht="18" customHeight="1" thickBot="1">
      <c r="B7" s="142"/>
      <c r="C7" s="116"/>
      <c r="D7" s="116"/>
      <c r="E7" s="116"/>
      <c r="F7" s="143"/>
      <c r="G7" s="143"/>
      <c r="H7" s="116"/>
      <c r="I7" s="116"/>
      <c r="J7" s="116"/>
      <c r="K7" s="116"/>
      <c r="L7" s="116"/>
    </row>
    <row r="8" spans="2:12" ht="18" customHeight="1" thickBot="1">
      <c r="B8" s="302" t="s">
        <v>1047</v>
      </c>
      <c r="C8" s="301" t="s">
        <v>545</v>
      </c>
      <c r="D8" s="301"/>
      <c r="E8" s="301" t="s">
        <v>1050</v>
      </c>
      <c r="F8" s="301"/>
      <c r="G8" s="143"/>
      <c r="H8" s="116"/>
      <c r="I8" s="116"/>
      <c r="J8" s="116"/>
      <c r="K8" s="116"/>
      <c r="L8" s="116"/>
    </row>
    <row r="9" spans="2:12" s="11" customFormat="1" ht="28.5" customHeight="1" thickBot="1">
      <c r="B9" s="302"/>
      <c r="C9" s="144" t="s">
        <v>1051</v>
      </c>
      <c r="D9" s="144" t="s">
        <v>1052</v>
      </c>
      <c r="E9" s="144" t="s">
        <v>1051</v>
      </c>
      <c r="F9" s="144" t="s">
        <v>1052</v>
      </c>
      <c r="G9" s="74"/>
      <c r="H9" s="145"/>
      <c r="I9" s="74"/>
      <c r="J9" s="74"/>
      <c r="K9" s="74"/>
      <c r="L9" s="74"/>
    </row>
    <row r="10" spans="2:12" s="11" customFormat="1" ht="28.5" customHeight="1">
      <c r="B10" s="146" t="s">
        <v>1048</v>
      </c>
      <c r="C10" s="88">
        <f>VLOOKUP(E6,BASE!B3:DD127,107,0)</f>
        <v>1857</v>
      </c>
      <c r="D10" s="147">
        <f>C10/($C$10+$C$11+$C$12+$C$13+$C$14+$C$15+$C$16+$C$17+$C$18)</f>
        <v>6.1293197346271908E-2</v>
      </c>
      <c r="E10" s="86">
        <f>VLOOKUP(E6,BASE!B3:DM127,116,0)</f>
        <v>86</v>
      </c>
      <c r="F10" s="148">
        <f>E10/($E$10+$E$11+$E$12+$E$13+$E$14+$E$15+$E$16+$E$17+$E$18)</f>
        <v>0.62318840579710144</v>
      </c>
      <c r="G10" s="74"/>
      <c r="H10" s="145"/>
      <c r="I10" s="74"/>
      <c r="J10" s="74"/>
      <c r="K10" s="74"/>
      <c r="L10" s="74"/>
    </row>
    <row r="11" spans="2:12" s="11" customFormat="1" ht="21.75" customHeight="1">
      <c r="B11" s="149" t="s">
        <v>1049</v>
      </c>
      <c r="C11" s="83">
        <f>VLOOKUP(E6,BASE!B3:DE127,108,0)</f>
        <v>3402</v>
      </c>
      <c r="D11" s="150">
        <f t="shared" ref="D11:D18" si="0">C11/($C$10+$C$11+$C$12+$C$13+$C$14+$C$15+$C$16+$C$17+$C$18)</f>
        <v>0.11228834538073076</v>
      </c>
      <c r="E11" s="151">
        <f>VLOOKUP(E6,BASE!B3:DN127,117,0)</f>
        <v>22</v>
      </c>
      <c r="F11" s="152">
        <f t="shared" ref="F11:F18" si="1">E11/($E$10+$E$11+$E$12+$E$13+$E$14+$E$15+$E$16+$E$17+$E$18)</f>
        <v>0.15942028985507245</v>
      </c>
      <c r="G11" s="74"/>
      <c r="H11" s="145"/>
      <c r="I11" s="74"/>
      <c r="J11" s="74"/>
      <c r="K11" s="74"/>
      <c r="L11" s="74"/>
    </row>
    <row r="12" spans="2:12" s="11" customFormat="1" ht="21.75" customHeight="1">
      <c r="B12" s="146" t="s">
        <v>560</v>
      </c>
      <c r="C12" s="88">
        <f>VLOOKUP(E6,BASE!B3:DF127,109,0)</f>
        <v>5937</v>
      </c>
      <c r="D12" s="147">
        <f t="shared" si="0"/>
        <v>0.1959599960392118</v>
      </c>
      <c r="E12" s="86">
        <f>VLOOKUP(E6,BASE!B3:DO127,118,0)</f>
        <v>17</v>
      </c>
      <c r="F12" s="148">
        <f t="shared" si="1"/>
        <v>0.12318840579710146</v>
      </c>
      <c r="G12" s="74"/>
      <c r="H12" s="145"/>
      <c r="I12" s="74"/>
      <c r="J12" s="74"/>
      <c r="K12" s="74"/>
      <c r="L12" s="74"/>
    </row>
    <row r="13" spans="2:12" s="11" customFormat="1" ht="21.75" customHeight="1">
      <c r="B13" s="149" t="s">
        <v>561</v>
      </c>
      <c r="C13" s="83">
        <f>VLOOKUP(E6,BASE!B3:DG127,110,0)</f>
        <v>10879</v>
      </c>
      <c r="D13" s="150">
        <f t="shared" si="0"/>
        <v>0.35907845661286597</v>
      </c>
      <c r="E13" s="151">
        <f>VLOOKUP(E6,BASE!B3:DP127,119,0)</f>
        <v>12</v>
      </c>
      <c r="F13" s="152">
        <f t="shared" si="1"/>
        <v>8.6956521739130432E-2</v>
      </c>
      <c r="G13" s="74"/>
      <c r="H13" s="145"/>
      <c r="I13" s="74"/>
      <c r="J13" s="74"/>
      <c r="K13" s="74"/>
      <c r="L13" s="74"/>
    </row>
    <row r="14" spans="2:12" s="11" customFormat="1" ht="21.75" customHeight="1">
      <c r="B14" s="146" t="s">
        <v>562</v>
      </c>
      <c r="C14" s="88">
        <f>VLOOKUP(E6,BASE!B3:DH127,111,0)</f>
        <v>0</v>
      </c>
      <c r="D14" s="147">
        <f t="shared" si="0"/>
        <v>0</v>
      </c>
      <c r="E14" s="86">
        <f>VLOOKUP(E6,BASE!B3:DQ127,120,0)</f>
        <v>0</v>
      </c>
      <c r="F14" s="148">
        <f t="shared" si="1"/>
        <v>0</v>
      </c>
      <c r="G14" s="74"/>
      <c r="H14" s="145"/>
      <c r="I14" s="74"/>
      <c r="J14" s="74"/>
      <c r="K14" s="74"/>
      <c r="L14" s="74"/>
    </row>
    <row r="15" spans="2:12" s="11" customFormat="1" ht="21.75" customHeight="1">
      <c r="B15" s="149" t="s">
        <v>563</v>
      </c>
      <c r="C15" s="83">
        <f>VLOOKUP(E6,BASE!B3:DI127,112,0)</f>
        <v>8222</v>
      </c>
      <c r="D15" s="150">
        <f t="shared" si="0"/>
        <v>0.27138000462091955</v>
      </c>
      <c r="E15" s="151">
        <f>VLOOKUP(E6,BASE!B3:DR127,121,0)</f>
        <v>1</v>
      </c>
      <c r="F15" s="152">
        <f t="shared" si="1"/>
        <v>7.246376811594203E-3</v>
      </c>
      <c r="G15" s="74"/>
      <c r="H15" s="145"/>
      <c r="I15" s="74"/>
      <c r="J15" s="74"/>
      <c r="K15" s="74"/>
      <c r="L15" s="74"/>
    </row>
    <row r="16" spans="2:12" s="11" customFormat="1" ht="21" customHeight="1">
      <c r="B16" s="146" t="s">
        <v>564</v>
      </c>
      <c r="C16" s="88">
        <f>VLOOKUP(E6,BASE!B3:DJ127,113,0)</f>
        <v>0</v>
      </c>
      <c r="D16" s="147">
        <f t="shared" si="0"/>
        <v>0</v>
      </c>
      <c r="E16" s="86">
        <f>VLOOKUP(E6,BASE!B3:DS127,122,0)</f>
        <v>0</v>
      </c>
      <c r="F16" s="148">
        <f t="shared" si="1"/>
        <v>0</v>
      </c>
      <c r="G16" s="74"/>
      <c r="H16" s="145"/>
      <c r="I16" s="74"/>
      <c r="J16" s="74"/>
      <c r="K16" s="74"/>
      <c r="L16" s="74"/>
    </row>
    <row r="17" spans="2:17" s="11" customFormat="1" ht="21" customHeight="1">
      <c r="B17" s="149" t="s">
        <v>565</v>
      </c>
      <c r="C17" s="83">
        <f>VLOOKUP(E6,BASE!B3:DK127,114,0)</f>
        <v>0</v>
      </c>
      <c r="D17" s="150">
        <f t="shared" si="0"/>
        <v>0</v>
      </c>
      <c r="E17" s="151">
        <f>VLOOKUP(E6,BASE!B3:DT127,123,0)</f>
        <v>0</v>
      </c>
      <c r="F17" s="152">
        <f t="shared" si="1"/>
        <v>0</v>
      </c>
      <c r="G17" s="74"/>
      <c r="H17" s="145"/>
      <c r="I17" s="74"/>
      <c r="J17" s="74"/>
      <c r="K17" s="74"/>
      <c r="L17" s="74"/>
    </row>
    <row r="18" spans="2:17" s="11" customFormat="1" ht="31.5" customHeight="1">
      <c r="B18" s="146" t="s">
        <v>566</v>
      </c>
      <c r="C18" s="88">
        <f>VLOOKUP(E6,BASE!B3:DL127,115,0)</f>
        <v>0</v>
      </c>
      <c r="D18" s="147">
        <f t="shared" si="0"/>
        <v>0</v>
      </c>
      <c r="E18" s="86">
        <f>VLOOKUP(E6,BASE!B3:DU127,124,0)</f>
        <v>0</v>
      </c>
      <c r="F18" s="148">
        <f t="shared" si="1"/>
        <v>0</v>
      </c>
      <c r="G18" s="74"/>
      <c r="H18" s="145"/>
      <c r="I18" s="74"/>
      <c r="J18" s="74"/>
      <c r="K18" s="74"/>
      <c r="L18" s="74"/>
    </row>
    <row r="19" spans="2:17" s="11" customFormat="1" ht="21.75" customHeight="1" thickBot="1">
      <c r="B19" s="153" t="s">
        <v>11</v>
      </c>
      <c r="C19" s="154">
        <f>SUM(C10:C18)</f>
        <v>30297</v>
      </c>
      <c r="D19" s="155">
        <f t="shared" ref="D19:F19" si="2">SUM(D10:D18)</f>
        <v>1</v>
      </c>
      <c r="E19" s="154">
        <f t="shared" si="2"/>
        <v>138</v>
      </c>
      <c r="F19" s="156">
        <f t="shared" si="2"/>
        <v>1</v>
      </c>
      <c r="G19" s="74"/>
      <c r="H19" s="145"/>
      <c r="I19" s="74"/>
      <c r="J19" s="74"/>
      <c r="K19" s="74"/>
      <c r="L19" s="74"/>
    </row>
    <row r="20" spans="2:17" s="11" customFormat="1" ht="21.75" customHeight="1">
      <c r="B20" s="74"/>
      <c r="C20" s="74"/>
      <c r="D20" s="74"/>
      <c r="E20" s="74"/>
      <c r="F20" s="74"/>
      <c r="G20" s="74"/>
      <c r="H20" s="145"/>
      <c r="I20" s="74"/>
      <c r="J20" s="74"/>
      <c r="K20" s="74"/>
      <c r="L20" s="74"/>
    </row>
    <row r="21" spans="2:17" s="11" customFormat="1" ht="30" customHeight="1">
      <c r="B21" s="74"/>
      <c r="C21" s="74"/>
      <c r="D21" s="74"/>
      <c r="E21" s="74"/>
      <c r="F21" s="74"/>
      <c r="G21" s="300"/>
      <c r="H21" s="300"/>
      <c r="I21" s="74"/>
      <c r="J21" s="74"/>
      <c r="K21" s="74"/>
      <c r="L21" s="74"/>
    </row>
    <row r="22" spans="2:17" ht="21.75" customHeight="1">
      <c r="B22" s="116"/>
      <c r="C22" s="116"/>
      <c r="D22" s="116"/>
      <c r="E22" s="116"/>
      <c r="F22" s="116"/>
      <c r="G22" s="157"/>
      <c r="H22" s="158"/>
      <c r="I22" s="116"/>
      <c r="J22" s="116"/>
      <c r="K22" s="116"/>
      <c r="L22" s="116"/>
    </row>
    <row r="23" spans="2:17" ht="21.75" customHeight="1">
      <c r="B23" s="116"/>
      <c r="C23" s="116"/>
      <c r="D23" s="116"/>
      <c r="E23" s="116"/>
      <c r="F23" s="116"/>
      <c r="G23" s="157"/>
      <c r="H23" s="158"/>
      <c r="I23" s="116"/>
      <c r="J23" s="116"/>
      <c r="K23" s="116"/>
      <c r="L23" s="116"/>
      <c r="Q23" s="68"/>
    </row>
    <row r="24" spans="2:17" ht="21.75" customHeight="1">
      <c r="B24" s="116"/>
      <c r="C24" s="116"/>
      <c r="D24" s="116"/>
      <c r="E24" s="116"/>
      <c r="F24" s="116"/>
      <c r="G24" s="157"/>
      <c r="H24" s="158"/>
      <c r="I24" s="116"/>
      <c r="J24" s="116"/>
      <c r="K24" s="116"/>
      <c r="L24" s="116"/>
    </row>
    <row r="25" spans="2:17" ht="21.75" customHeight="1">
      <c r="B25" s="116"/>
      <c r="C25" s="116"/>
      <c r="D25" s="116"/>
      <c r="E25" s="116"/>
      <c r="F25" s="116"/>
      <c r="G25" s="157"/>
      <c r="H25" s="158"/>
      <c r="I25" s="116"/>
      <c r="J25" s="116"/>
      <c r="K25" s="116"/>
      <c r="L25" s="116"/>
    </row>
    <row r="26" spans="2:17" ht="21.75" customHeight="1">
      <c r="B26" s="116"/>
      <c r="C26" s="116"/>
      <c r="D26" s="116"/>
      <c r="E26" s="116"/>
      <c r="F26" s="116"/>
      <c r="G26" s="157"/>
      <c r="H26" s="158"/>
      <c r="I26" s="116"/>
      <c r="J26" s="116"/>
      <c r="K26" s="116"/>
      <c r="L26" s="116"/>
    </row>
    <row r="27" spans="2:17" ht="21.75" customHeight="1">
      <c r="B27" s="116"/>
      <c r="C27" s="116"/>
      <c r="D27" s="116"/>
      <c r="E27" s="116"/>
      <c r="F27" s="116"/>
      <c r="G27" s="157"/>
      <c r="H27" s="158"/>
      <c r="I27" s="116"/>
      <c r="J27" s="116"/>
      <c r="K27" s="116"/>
      <c r="L27" s="116"/>
    </row>
    <row r="28" spans="2:17" ht="21.75" customHeight="1">
      <c r="B28" s="116"/>
      <c r="C28" s="116"/>
      <c r="D28" s="116"/>
      <c r="E28" s="116"/>
      <c r="F28" s="116"/>
      <c r="G28" s="157"/>
      <c r="H28" s="158"/>
      <c r="I28" s="116"/>
      <c r="J28" s="116"/>
      <c r="K28" s="116"/>
      <c r="L28" s="116"/>
    </row>
    <row r="29" spans="2:17" ht="21.75" customHeight="1">
      <c r="B29" s="116"/>
      <c r="C29" s="116"/>
      <c r="D29" s="116"/>
      <c r="E29" s="116"/>
      <c r="F29" s="116"/>
      <c r="G29" s="157"/>
      <c r="H29" s="158"/>
      <c r="I29" s="116"/>
      <c r="J29" s="116"/>
      <c r="K29" s="116"/>
      <c r="L29" s="116"/>
    </row>
    <row r="30" spans="2:17">
      <c r="B30" s="142"/>
      <c r="C30" s="116"/>
      <c r="D30" s="116"/>
      <c r="E30" s="116"/>
      <c r="F30" s="116"/>
      <c r="G30" s="116"/>
      <c r="H30" s="116"/>
      <c r="I30" s="116"/>
      <c r="J30" s="116"/>
      <c r="K30" s="116"/>
      <c r="L30" s="116"/>
    </row>
    <row r="31" spans="2:17">
      <c r="B31" s="142"/>
      <c r="C31" s="116"/>
      <c r="D31" s="116"/>
      <c r="E31" s="116"/>
      <c r="F31" s="116"/>
      <c r="G31" s="116"/>
      <c r="H31" s="116"/>
      <c r="I31" s="116"/>
      <c r="J31" s="116"/>
      <c r="K31" s="116"/>
      <c r="L31" s="116"/>
    </row>
    <row r="32" spans="2:17">
      <c r="B32" s="142"/>
      <c r="C32" s="116"/>
      <c r="D32" s="116"/>
      <c r="E32" s="116"/>
      <c r="F32" s="116"/>
      <c r="G32" s="116"/>
      <c r="H32" s="116"/>
      <c r="I32" s="116"/>
      <c r="J32" s="116"/>
      <c r="K32" s="116"/>
      <c r="L32" s="116"/>
    </row>
    <row r="33" spans="2:12">
      <c r="B33" s="142"/>
      <c r="C33" s="116"/>
      <c r="D33" s="116"/>
      <c r="E33" s="116"/>
      <c r="F33" s="116"/>
      <c r="G33" s="116"/>
      <c r="H33" s="116"/>
      <c r="I33" s="116"/>
      <c r="J33" s="116"/>
      <c r="K33" s="116"/>
      <c r="L33" s="116"/>
    </row>
    <row r="34" spans="2:12">
      <c r="B34" s="142"/>
      <c r="C34" s="116"/>
      <c r="D34" s="116"/>
      <c r="E34" s="116"/>
      <c r="F34" s="116"/>
      <c r="G34" s="116"/>
      <c r="H34" s="116"/>
      <c r="I34" s="116"/>
      <c r="J34" s="116"/>
      <c r="K34" s="116"/>
      <c r="L34" s="116"/>
    </row>
    <row r="35" spans="2:12">
      <c r="B35" s="142"/>
      <c r="C35" s="116"/>
      <c r="D35" s="116"/>
      <c r="E35" s="116"/>
      <c r="F35" s="116"/>
      <c r="G35" s="116"/>
      <c r="H35" s="116"/>
      <c r="I35" s="116"/>
      <c r="J35" s="116"/>
      <c r="K35" s="116"/>
      <c r="L35" s="116"/>
    </row>
    <row r="36" spans="2:12">
      <c r="B36" s="142"/>
      <c r="C36" s="116"/>
      <c r="D36" s="116"/>
      <c r="E36" s="116"/>
      <c r="F36" s="116"/>
      <c r="G36" s="116"/>
      <c r="H36" s="116"/>
      <c r="I36" s="116"/>
      <c r="J36" s="116"/>
      <c r="K36" s="116"/>
      <c r="L36" s="116"/>
    </row>
    <row r="37" spans="2:12">
      <c r="B37" s="142"/>
      <c r="C37" s="116"/>
      <c r="D37" s="116"/>
      <c r="E37" s="116"/>
      <c r="F37" s="116"/>
      <c r="G37" s="116"/>
      <c r="H37" s="116"/>
      <c r="I37" s="116"/>
      <c r="J37" s="116"/>
      <c r="K37" s="116"/>
      <c r="L37" s="116"/>
    </row>
    <row r="38" spans="2:12">
      <c r="B38" s="142"/>
      <c r="C38" s="116"/>
      <c r="D38" s="116"/>
      <c r="E38" s="116"/>
      <c r="F38" s="116"/>
      <c r="G38" s="116"/>
      <c r="H38" s="116"/>
      <c r="I38" s="116"/>
      <c r="J38" s="116"/>
      <c r="K38" s="116"/>
      <c r="L38" s="116"/>
    </row>
    <row r="39" spans="2:12">
      <c r="B39" s="142"/>
      <c r="C39" s="116"/>
      <c r="D39" s="116"/>
      <c r="E39" s="116"/>
      <c r="F39" s="116"/>
      <c r="G39" s="116"/>
      <c r="H39" s="116"/>
      <c r="I39" s="116"/>
      <c r="J39" s="116"/>
      <c r="K39" s="116"/>
      <c r="L39" s="116"/>
    </row>
    <row r="40" spans="2:12">
      <c r="B40" s="142"/>
      <c r="C40" s="116"/>
      <c r="D40" s="116"/>
      <c r="E40" s="116"/>
      <c r="F40" s="116"/>
      <c r="G40" s="116"/>
      <c r="H40" s="116"/>
      <c r="I40" s="116"/>
      <c r="J40" s="116"/>
      <c r="K40" s="116"/>
      <c r="L40" s="116"/>
    </row>
    <row r="41" spans="2:12">
      <c r="B41" s="142"/>
      <c r="C41" s="116"/>
      <c r="D41" s="116"/>
      <c r="E41" s="116"/>
      <c r="F41" s="116"/>
      <c r="G41" s="116"/>
      <c r="H41" s="116"/>
      <c r="I41" s="116"/>
      <c r="J41" s="116"/>
      <c r="K41" s="116"/>
      <c r="L41" s="116"/>
    </row>
    <row r="42" spans="2:12">
      <c r="B42" s="142"/>
      <c r="C42" s="116"/>
      <c r="D42" s="116"/>
      <c r="E42" s="116"/>
      <c r="F42" s="116"/>
      <c r="G42" s="116"/>
      <c r="H42" s="116"/>
      <c r="I42" s="116"/>
      <c r="J42" s="116"/>
      <c r="K42" s="116"/>
      <c r="L42" s="116"/>
    </row>
    <row r="43" spans="2:12">
      <c r="B43" s="142"/>
      <c r="C43" s="116"/>
      <c r="D43" s="116"/>
      <c r="E43" s="116"/>
      <c r="F43" s="116"/>
      <c r="G43" s="116"/>
      <c r="H43" s="116"/>
      <c r="I43" s="116"/>
      <c r="J43" s="116"/>
      <c r="K43" s="116"/>
      <c r="L43" s="116"/>
    </row>
    <row r="44" spans="2:12">
      <c r="B44" s="142"/>
      <c r="C44" s="116"/>
      <c r="D44" s="116"/>
      <c r="E44" s="116"/>
      <c r="F44" s="116"/>
      <c r="G44" s="116"/>
      <c r="H44" s="116"/>
      <c r="I44" s="116"/>
      <c r="J44" s="116"/>
      <c r="K44" s="116"/>
      <c r="L44" s="116"/>
    </row>
    <row r="45" spans="2:12">
      <c r="B45" s="142"/>
      <c r="C45" s="116"/>
      <c r="D45" s="116"/>
      <c r="E45" s="116"/>
      <c r="F45" s="116"/>
      <c r="G45" s="116"/>
      <c r="H45" s="116"/>
      <c r="I45" s="116"/>
      <c r="J45" s="116"/>
      <c r="K45" s="116"/>
      <c r="L45" s="116"/>
    </row>
    <row r="46" spans="2:12">
      <c r="B46" s="142"/>
      <c r="C46" s="116"/>
      <c r="D46" s="116"/>
      <c r="E46" s="116"/>
      <c r="F46" s="116"/>
      <c r="G46" s="116"/>
      <c r="H46" s="116"/>
      <c r="I46" s="116"/>
      <c r="J46" s="116"/>
      <c r="K46" s="116"/>
      <c r="L46" s="116"/>
    </row>
    <row r="47" spans="2:12">
      <c r="B47" s="142"/>
      <c r="C47" s="116"/>
      <c r="D47" s="116"/>
      <c r="E47" s="116"/>
      <c r="F47" s="116"/>
      <c r="G47" s="116"/>
      <c r="H47" s="116"/>
      <c r="I47" s="116"/>
      <c r="J47" s="116"/>
      <c r="K47" s="116"/>
      <c r="L47" s="116"/>
    </row>
    <row r="48" spans="2:12">
      <c r="B48" s="142"/>
      <c r="C48" s="116"/>
      <c r="D48" s="116"/>
      <c r="E48" s="116"/>
      <c r="F48" s="116"/>
      <c r="G48" s="116"/>
      <c r="H48" s="116"/>
      <c r="I48" s="116"/>
      <c r="J48" s="116"/>
      <c r="K48" s="116"/>
      <c r="L48" s="116"/>
    </row>
    <row r="49" spans="2:12">
      <c r="B49" s="142"/>
      <c r="C49" s="116"/>
      <c r="D49" s="116"/>
      <c r="E49" s="116"/>
      <c r="F49" s="116"/>
      <c r="G49" s="116"/>
      <c r="H49" s="116"/>
      <c r="I49" s="116"/>
      <c r="J49" s="116"/>
      <c r="K49" s="116"/>
      <c r="L49" s="116"/>
    </row>
    <row r="50" spans="2:12">
      <c r="B50" s="142"/>
      <c r="C50" s="116"/>
      <c r="D50" s="116"/>
      <c r="E50" s="116"/>
      <c r="F50" s="116"/>
      <c r="G50" s="116"/>
      <c r="H50" s="116"/>
      <c r="I50" s="116"/>
      <c r="J50" s="116"/>
      <c r="K50" s="116"/>
      <c r="L50" s="116"/>
    </row>
  </sheetData>
  <sheetProtection algorithmName="SHA-512" hashValue="GSAa/GtvKqF5gsMjwpPlxYY2m05gtckf6vKIB0+coXJU+gRmD6BXImsGP5bUIC8ZFuCaXfVfoR6a1w0IEADKXg==" saltValue="SgS4dMk6RsmY/2oR9wHA+Q==" spinCount="100000" sheet="1" objects="1" scenarios="1"/>
  <mergeCells count="4">
    <mergeCell ref="G21:H21"/>
    <mergeCell ref="C8:D8"/>
    <mergeCell ref="E8:F8"/>
    <mergeCell ref="B8:B9"/>
  </mergeCells>
  <hyperlinks>
    <hyperlink ref="H4" location="PRESENTACIÓN!C6" display="INICIO" xr:uid="{00000000-0004-0000-0400-000000000000}"/>
  </hyperlinks>
  <pageMargins left="0.62992125984251968" right="0.23622047244094491" top="0" bottom="0" header="0" footer="0"/>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M33"/>
  <sheetViews>
    <sheetView zoomScaleNormal="100" workbookViewId="0">
      <selection activeCell="H4" sqref="H4"/>
    </sheetView>
  </sheetViews>
  <sheetFormatPr baseColWidth="10" defaultRowHeight="12"/>
  <cols>
    <col min="1" max="1" width="5.7109375" style="12" customWidth="1"/>
    <col min="2" max="2" width="24.28515625" style="12" customWidth="1"/>
    <col min="3" max="4" width="11.42578125" style="12"/>
    <col min="5" max="5" width="7.5703125" style="12" customWidth="1"/>
    <col min="6" max="6" width="44.28515625" style="12" customWidth="1"/>
    <col min="7" max="10" width="11.42578125" style="12"/>
    <col min="11" max="11" width="29" style="15" customWidth="1"/>
    <col min="12" max="13" width="11.42578125" style="15"/>
    <col min="14" max="16384" width="11.42578125" style="12"/>
  </cols>
  <sheetData>
    <row r="1" spans="1:13" ht="18.75" customHeight="1"/>
    <row r="2" spans="1:13" ht="18.75" customHeight="1"/>
    <row r="3" spans="1:13" ht="18.75" customHeight="1"/>
    <row r="4" spans="1:13" ht="18.75" customHeight="1">
      <c r="B4" s="72" t="s">
        <v>3</v>
      </c>
      <c r="C4" s="116"/>
      <c r="D4" s="116"/>
      <c r="E4" s="116"/>
      <c r="F4" s="116"/>
      <c r="G4" s="116"/>
      <c r="H4" s="76" t="s">
        <v>953</v>
      </c>
    </row>
    <row r="5" spans="1:13" ht="18.75" customHeight="1">
      <c r="B5" s="77" t="s">
        <v>7</v>
      </c>
      <c r="C5" s="116"/>
      <c r="D5" s="116"/>
      <c r="E5" s="116"/>
      <c r="F5" s="116"/>
      <c r="G5" s="116"/>
      <c r="H5" s="116"/>
    </row>
    <row r="6" spans="1:13" s="22" customFormat="1" ht="23.25" customHeight="1">
      <c r="B6" s="159" t="s">
        <v>594</v>
      </c>
      <c r="C6" s="115"/>
      <c r="D6" s="160"/>
      <c r="E6" s="78" t="s">
        <v>9</v>
      </c>
      <c r="F6" s="79" t="str">
        <f>VLOOKUP('POBLACIÓN TOTAL'!J6,BASE!B3:B127,1,0)</f>
        <v>Villa Comaltitlán</v>
      </c>
      <c r="G6" s="141"/>
      <c r="H6" s="115"/>
      <c r="K6" s="15"/>
      <c r="L6" s="15"/>
      <c r="M6" s="15"/>
    </row>
    <row r="7" spans="1:13" ht="18.75" customHeight="1" thickBot="1">
      <c r="B7" s="116"/>
      <c r="C7" s="116"/>
      <c r="D7" s="116"/>
      <c r="E7" s="116"/>
      <c r="F7" s="116"/>
      <c r="G7" s="116"/>
      <c r="H7" s="116"/>
    </row>
    <row r="8" spans="1:13" ht="45.75" customHeight="1">
      <c r="A8" s="2"/>
      <c r="B8" s="287" t="s">
        <v>1033</v>
      </c>
      <c r="C8" s="288"/>
      <c r="D8" s="289"/>
      <c r="E8" s="161"/>
      <c r="F8" s="287" t="s">
        <v>1009</v>
      </c>
      <c r="G8" s="288"/>
      <c r="H8" s="289"/>
      <c r="K8" s="15" t="s">
        <v>624</v>
      </c>
      <c r="L8" s="15" t="s">
        <v>625</v>
      </c>
      <c r="M8" s="15" t="s">
        <v>362</v>
      </c>
    </row>
    <row r="9" spans="1:13" ht="27.75" customHeight="1">
      <c r="B9" s="126" t="s">
        <v>489</v>
      </c>
      <c r="C9" s="124">
        <f>VLOOKUP(F6,BASE!B3:E127,4,0)</f>
        <v>30297</v>
      </c>
      <c r="D9" s="162"/>
      <c r="E9" s="116"/>
      <c r="F9" s="163" t="s">
        <v>596</v>
      </c>
      <c r="G9" s="164">
        <f>G10+G11</f>
        <v>1674</v>
      </c>
      <c r="H9" s="165">
        <f>G9/C10</f>
        <v>0.20966933867735471</v>
      </c>
      <c r="K9" s="15" t="s">
        <v>621</v>
      </c>
      <c r="L9" s="42">
        <f>VLOOKUP(F6,BASE!B3:EJ127,139,0)</f>
        <v>924</v>
      </c>
      <c r="M9" s="43">
        <f t="shared" ref="M9:M15" si="0">L9/$L$16</f>
        <v>0.21433542101600556</v>
      </c>
    </row>
    <row r="10" spans="1:13" ht="24.75" customHeight="1">
      <c r="B10" s="131" t="s">
        <v>595</v>
      </c>
      <c r="C10" s="121">
        <f>C11+C12</f>
        <v>7984</v>
      </c>
      <c r="D10" s="166">
        <f>C10/C9</f>
        <v>0.26352444136383141</v>
      </c>
      <c r="E10" s="116"/>
      <c r="F10" s="167" t="s">
        <v>12</v>
      </c>
      <c r="G10" s="124">
        <f>VLOOKUP(F6,BASE!B3:DV127,125,0)</f>
        <v>810</v>
      </c>
      <c r="H10" s="125">
        <f>G10/G9</f>
        <v>0.4838709677419355</v>
      </c>
      <c r="K10" s="15" t="s">
        <v>626</v>
      </c>
      <c r="L10" s="42">
        <f>VLOOKUP(F6,BASE!B3:EK127,140,0)</f>
        <v>1571</v>
      </c>
      <c r="M10" s="43">
        <f t="shared" si="0"/>
        <v>0.36441660867548131</v>
      </c>
    </row>
    <row r="11" spans="1:13" ht="19.5" customHeight="1">
      <c r="B11" s="168" t="s">
        <v>12</v>
      </c>
      <c r="C11" s="124">
        <f>G10+G13+G16+G19+G22+G25+G28</f>
        <v>4271</v>
      </c>
      <c r="D11" s="125">
        <f>C11/C10</f>
        <v>0.53494488977955912</v>
      </c>
      <c r="E11" s="116"/>
      <c r="F11" s="167" t="s">
        <v>13</v>
      </c>
      <c r="G11" s="124">
        <f>VLOOKUP(F6,BASE!B3:DW127,126,0)</f>
        <v>864</v>
      </c>
      <c r="H11" s="125">
        <f>G11/G9</f>
        <v>0.5161290322580645</v>
      </c>
      <c r="K11" s="15" t="s">
        <v>627</v>
      </c>
      <c r="L11" s="42">
        <f>VLOOKUP(F6,BASE!B3:EL127,141,0)</f>
        <v>550</v>
      </c>
      <c r="M11" s="43">
        <f t="shared" si="0"/>
        <v>0.12758060774762237</v>
      </c>
    </row>
    <row r="12" spans="1:13" ht="19.5" customHeight="1" thickBot="1">
      <c r="B12" s="169" t="s">
        <v>13</v>
      </c>
      <c r="C12" s="128">
        <f>G11+G14+G17+G20+G23+G26+G29</f>
        <v>3713</v>
      </c>
      <c r="D12" s="129">
        <f>C12/C10</f>
        <v>0.46505511022044088</v>
      </c>
      <c r="E12" s="116"/>
      <c r="F12" s="170" t="s">
        <v>597</v>
      </c>
      <c r="G12" s="171">
        <f>G13+G14</f>
        <v>3266</v>
      </c>
      <c r="H12" s="172">
        <f>G12/C10</f>
        <v>0.40906813627254507</v>
      </c>
      <c r="K12" s="15" t="s">
        <v>622</v>
      </c>
      <c r="L12" s="42">
        <f>VLOOKUP(F6,BASE!B3:EM127,142,0)</f>
        <v>311</v>
      </c>
      <c r="M12" s="43">
        <f t="shared" si="0"/>
        <v>7.2141034562746467E-2</v>
      </c>
    </row>
    <row r="13" spans="1:13" ht="19.5" customHeight="1">
      <c r="B13" s="116"/>
      <c r="C13" s="116"/>
      <c r="D13" s="116"/>
      <c r="E13" s="116"/>
      <c r="F13" s="173" t="s">
        <v>12</v>
      </c>
      <c r="G13" s="121">
        <f>VLOOKUP(F6,BASE!B3:DX127,127,0)</f>
        <v>1822</v>
      </c>
      <c r="H13" s="166">
        <f>G13/G12</f>
        <v>0.55786895284751992</v>
      </c>
      <c r="K13" s="15" t="s">
        <v>974</v>
      </c>
      <c r="L13" s="15">
        <f>VLOOKUP(F6,BASE!B3:EN127,143,0)</f>
        <v>284</v>
      </c>
      <c r="M13" s="43">
        <f t="shared" si="0"/>
        <v>6.5877986546045E-2</v>
      </c>
    </row>
    <row r="14" spans="1:13" ht="19.5" customHeight="1">
      <c r="B14" s="116"/>
      <c r="C14" s="116"/>
      <c r="D14" s="116"/>
      <c r="E14" s="116"/>
      <c r="F14" s="173" t="s">
        <v>13</v>
      </c>
      <c r="G14" s="121">
        <f>VLOOKUP(F6,BASE!B3:DY127,128,0)</f>
        <v>1444</v>
      </c>
      <c r="H14" s="166">
        <f>G14/G12</f>
        <v>0.44213104715248008</v>
      </c>
      <c r="K14" s="15" t="s">
        <v>975</v>
      </c>
      <c r="L14" s="42">
        <f>VLOOKUP(F6,BASE!B3:EO127,144,0)</f>
        <v>486</v>
      </c>
      <c r="M14" s="43">
        <f t="shared" si="0"/>
        <v>0.11273486430062631</v>
      </c>
    </row>
    <row r="15" spans="1:13" ht="19.5" customHeight="1">
      <c r="B15" s="116"/>
      <c r="C15" s="116"/>
      <c r="D15" s="116"/>
      <c r="E15" s="116"/>
      <c r="F15" s="163" t="s">
        <v>598</v>
      </c>
      <c r="G15" s="164">
        <f>G16+G17</f>
        <v>958</v>
      </c>
      <c r="H15" s="165">
        <f>G15/C10</f>
        <v>0.11998997995991983</v>
      </c>
      <c r="K15" s="15" t="s">
        <v>623</v>
      </c>
      <c r="L15" s="42">
        <f>VLOOKUP(F6,BASE!B3:EP127,145,0)</f>
        <v>185</v>
      </c>
      <c r="M15" s="43">
        <f t="shared" si="0"/>
        <v>4.2913477151472978E-2</v>
      </c>
    </row>
    <row r="16" spans="1:13" ht="19.5" customHeight="1">
      <c r="B16" s="116"/>
      <c r="C16" s="116"/>
      <c r="D16" s="116"/>
      <c r="E16" s="116"/>
      <c r="F16" s="167" t="s">
        <v>12</v>
      </c>
      <c r="G16" s="124">
        <f>VLOOKUP(F6,BASE!B3:DZ127,129,0)</f>
        <v>526</v>
      </c>
      <c r="H16" s="125">
        <f>G16/G15</f>
        <v>0.54906054279749483</v>
      </c>
      <c r="K16" s="15" t="s">
        <v>11</v>
      </c>
      <c r="L16" s="42">
        <f>SUM(L9:L15)</f>
        <v>4311</v>
      </c>
    </row>
    <row r="17" spans="2:8" ht="19.5" customHeight="1">
      <c r="B17" s="116"/>
      <c r="C17" s="116"/>
      <c r="D17" s="116"/>
      <c r="E17" s="116"/>
      <c r="F17" s="167" t="s">
        <v>13</v>
      </c>
      <c r="G17" s="124">
        <f>VLOOKUP(F6,BASE!B3:EA127,130,0)</f>
        <v>432</v>
      </c>
      <c r="H17" s="125">
        <f>G17/G15</f>
        <v>0.45093945720250522</v>
      </c>
    </row>
    <row r="18" spans="2:8" ht="19.5" customHeight="1">
      <c r="B18" s="116"/>
      <c r="C18" s="116"/>
      <c r="D18" s="116"/>
      <c r="E18" s="116"/>
      <c r="F18" s="170" t="s">
        <v>599</v>
      </c>
      <c r="G18" s="171">
        <f>G19+G20</f>
        <v>517</v>
      </c>
      <c r="H18" s="172">
        <f>G18/C10</f>
        <v>6.4754509018036074E-2</v>
      </c>
    </row>
    <row r="19" spans="2:8" ht="19.5" customHeight="1">
      <c r="B19" s="116"/>
      <c r="C19" s="116"/>
      <c r="D19" s="116"/>
      <c r="E19" s="116"/>
      <c r="F19" s="173" t="s">
        <v>12</v>
      </c>
      <c r="G19" s="121">
        <f>VLOOKUP(F6,BASE!B3:EB127,131,0)</f>
        <v>300</v>
      </c>
      <c r="H19" s="166">
        <f>G19/G18</f>
        <v>0.58027079303675044</v>
      </c>
    </row>
    <row r="20" spans="2:8" ht="19.5" customHeight="1">
      <c r="B20" s="116"/>
      <c r="C20" s="116"/>
      <c r="D20" s="116"/>
      <c r="E20" s="116"/>
      <c r="F20" s="173" t="s">
        <v>13</v>
      </c>
      <c r="G20" s="121">
        <f>VLOOKUP(F6,BASE!B3:EC127,132,0)</f>
        <v>217</v>
      </c>
      <c r="H20" s="166">
        <f>G20/G18</f>
        <v>0.4197292069632495</v>
      </c>
    </row>
    <row r="21" spans="2:8" ht="24.75" customHeight="1">
      <c r="B21" s="116"/>
      <c r="C21" s="116"/>
      <c r="D21" s="116"/>
      <c r="E21" s="116"/>
      <c r="F21" s="163" t="s">
        <v>969</v>
      </c>
      <c r="G21" s="164">
        <f>G22+G23</f>
        <v>471</v>
      </c>
      <c r="H21" s="165">
        <f>G21/C10</f>
        <v>5.8992985971943891E-2</v>
      </c>
    </row>
    <row r="22" spans="2:8" ht="19.5" customHeight="1">
      <c r="B22" s="116"/>
      <c r="C22" s="116"/>
      <c r="D22" s="116"/>
      <c r="E22" s="116"/>
      <c r="F22" s="167" t="s">
        <v>12</v>
      </c>
      <c r="G22" s="124">
        <f>VLOOKUP(F6,BASE!B3:ED127,133,0)</f>
        <v>261</v>
      </c>
      <c r="H22" s="125">
        <f>G22/G21</f>
        <v>0.55414012738853502</v>
      </c>
    </row>
    <row r="23" spans="2:8" ht="19.5" customHeight="1">
      <c r="B23" s="116"/>
      <c r="C23" s="116"/>
      <c r="D23" s="116"/>
      <c r="E23" s="116"/>
      <c r="F23" s="167" t="s">
        <v>13</v>
      </c>
      <c r="G23" s="124">
        <f>VLOOKUP(F6,BASE!B3:EE127,134,0)</f>
        <v>210</v>
      </c>
      <c r="H23" s="125">
        <f>G23/G21</f>
        <v>0.44585987261146498</v>
      </c>
    </row>
    <row r="24" spans="2:8" ht="29.25" customHeight="1">
      <c r="B24" s="116"/>
      <c r="C24" s="116"/>
      <c r="D24" s="116"/>
      <c r="E24" s="116"/>
      <c r="F24" s="170" t="s">
        <v>968</v>
      </c>
      <c r="G24" s="171">
        <f>G25+G26</f>
        <v>784</v>
      </c>
      <c r="H24" s="172">
        <f>G24/C10</f>
        <v>9.8196392785571143E-2</v>
      </c>
    </row>
    <row r="25" spans="2:8" ht="33.75" customHeight="1">
      <c r="B25" s="306" t="s">
        <v>1006</v>
      </c>
      <c r="C25" s="306"/>
      <c r="D25" s="306"/>
      <c r="E25" s="307"/>
      <c r="F25" s="173" t="s">
        <v>12</v>
      </c>
      <c r="G25" s="121">
        <f>VLOOKUP(F6,BASE!B3:EF127,135,0)</f>
        <v>386</v>
      </c>
      <c r="H25" s="166">
        <f>G25/G24</f>
        <v>0.49234693877551022</v>
      </c>
    </row>
    <row r="26" spans="2:8" ht="37.5" customHeight="1">
      <c r="B26" s="306" t="s">
        <v>1007</v>
      </c>
      <c r="C26" s="306"/>
      <c r="D26" s="306"/>
      <c r="E26" s="307"/>
      <c r="F26" s="173" t="s">
        <v>13</v>
      </c>
      <c r="G26" s="121">
        <f>VLOOKUP(F6,BASE!B3:EG127,136,0)</f>
        <v>398</v>
      </c>
      <c r="H26" s="166">
        <f>G26/G24</f>
        <v>0.50765306122448983</v>
      </c>
    </row>
    <row r="27" spans="2:8" ht="28.5" customHeight="1">
      <c r="B27" s="304" t="s">
        <v>1008</v>
      </c>
      <c r="C27" s="304"/>
      <c r="D27" s="304"/>
      <c r="E27" s="305"/>
      <c r="F27" s="163" t="s">
        <v>600</v>
      </c>
      <c r="G27" s="164">
        <f>G28+G29</f>
        <v>314</v>
      </c>
      <c r="H27" s="165">
        <f>G27/C10</f>
        <v>3.9328657314629256E-2</v>
      </c>
    </row>
    <row r="28" spans="2:8" ht="24" customHeight="1">
      <c r="B28" s="304"/>
      <c r="C28" s="304"/>
      <c r="D28" s="304"/>
      <c r="E28" s="305"/>
      <c r="F28" s="167" t="s">
        <v>12</v>
      </c>
      <c r="G28" s="124">
        <f>VLOOKUP(F6,BASE!B3:EH127,137,0)</f>
        <v>166</v>
      </c>
      <c r="H28" s="125">
        <f>G28/G27</f>
        <v>0.5286624203821656</v>
      </c>
    </row>
    <row r="29" spans="2:8" ht="24" customHeight="1" thickBot="1">
      <c r="B29" s="304"/>
      <c r="C29" s="304"/>
      <c r="D29" s="304"/>
      <c r="E29" s="305"/>
      <c r="F29" s="174" t="s">
        <v>13</v>
      </c>
      <c r="G29" s="175">
        <f>VLOOKUP(F6,BASE!B3:EI127,138,0)</f>
        <v>148</v>
      </c>
      <c r="H29" s="176">
        <f>G29/G27</f>
        <v>0.4713375796178344</v>
      </c>
    </row>
    <row r="30" spans="2:8" ht="25.5" customHeight="1">
      <c r="B30" s="303"/>
      <c r="C30" s="303"/>
      <c r="D30" s="303"/>
      <c r="E30" s="303"/>
      <c r="F30" s="303"/>
      <c r="G30" s="303"/>
      <c r="H30" s="303"/>
    </row>
    <row r="31" spans="2:8" ht="25.5" customHeight="1">
      <c r="B31" s="308"/>
      <c r="C31" s="308"/>
      <c r="D31" s="308"/>
      <c r="E31" s="308"/>
      <c r="F31" s="308"/>
      <c r="G31" s="308"/>
      <c r="H31" s="308"/>
    </row>
    <row r="32" spans="2:8">
      <c r="B32" s="303"/>
      <c r="C32" s="303"/>
      <c r="D32" s="303"/>
      <c r="E32" s="303"/>
      <c r="F32" s="303"/>
      <c r="G32" s="303"/>
      <c r="H32" s="303"/>
    </row>
    <row r="33" spans="2:8">
      <c r="B33" s="303"/>
      <c r="C33" s="303"/>
      <c r="D33" s="303"/>
      <c r="E33" s="303"/>
      <c r="F33" s="303"/>
      <c r="G33" s="303"/>
      <c r="H33" s="303"/>
    </row>
  </sheetData>
  <sheetProtection algorithmName="SHA-512" hashValue="WuwlByp46bynW/5nFwiJGGirA4pDWO97IdYajeUHSy92fNaN/KHOGrSgPjIyPlNlzQ9eLmVwGM8WIDbAjgityQ==" saltValue="PKnVFpmRfTT5soC5DautoQ==" spinCount="100000" sheet="1" objects="1" scenarios="1"/>
  <mergeCells count="8">
    <mergeCell ref="B32:H33"/>
    <mergeCell ref="B27:E29"/>
    <mergeCell ref="B25:E25"/>
    <mergeCell ref="B26:E26"/>
    <mergeCell ref="B8:D8"/>
    <mergeCell ref="F8:H8"/>
    <mergeCell ref="B30:H30"/>
    <mergeCell ref="B31:H31"/>
  </mergeCells>
  <hyperlinks>
    <hyperlink ref="H4" location="PRESENTACIÓN!C6" display="INICIO" xr:uid="{00000000-0004-0000-0500-000000000000}"/>
  </hyperlinks>
  <pageMargins left="0.62992125984251968" right="0.23622047244094491" top="0" bottom="0" header="0" footer="0"/>
  <pageSetup paperSize="11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K29"/>
  <sheetViews>
    <sheetView zoomScaleNormal="100" workbookViewId="0">
      <selection activeCell="K4" sqref="K4"/>
    </sheetView>
  </sheetViews>
  <sheetFormatPr baseColWidth="10" defaultRowHeight="12"/>
  <cols>
    <col min="1" max="1" width="6.42578125" style="20" customWidth="1"/>
    <col min="2" max="2" width="10.85546875" style="20" customWidth="1"/>
    <col min="3" max="3" width="11.42578125" style="20"/>
    <col min="4" max="4" width="12.28515625" style="20" customWidth="1"/>
    <col min="5" max="5" width="6.5703125" style="20" customWidth="1"/>
    <col min="6" max="6" width="38.85546875" style="20" customWidth="1"/>
    <col min="7" max="7" width="11.28515625" style="20" customWidth="1"/>
    <col min="8" max="8" width="12.28515625" style="20" customWidth="1"/>
    <col min="9" max="9" width="9.7109375" style="20" customWidth="1"/>
    <col min="10" max="10" width="5.28515625" style="20" customWidth="1"/>
    <col min="11" max="16384" width="11.42578125" style="20"/>
  </cols>
  <sheetData>
    <row r="1" spans="2:11" ht="19.5" customHeight="1"/>
    <row r="2" spans="2:11" ht="19.5" customHeight="1"/>
    <row r="3" spans="2:11" ht="19.5" customHeight="1"/>
    <row r="4" spans="2:11" ht="19.5" customHeight="1">
      <c r="B4" s="72" t="s">
        <v>3</v>
      </c>
      <c r="C4" s="115"/>
      <c r="D4" s="115"/>
      <c r="E4" s="115"/>
      <c r="F4" s="115"/>
      <c r="G4" s="115"/>
      <c r="H4" s="115"/>
      <c r="I4" s="115"/>
      <c r="J4" s="115"/>
      <c r="K4" s="76" t="s">
        <v>953</v>
      </c>
    </row>
    <row r="5" spans="2:11" ht="19.5" customHeight="1">
      <c r="B5" s="177" t="s">
        <v>8</v>
      </c>
      <c r="C5" s="115"/>
      <c r="D5" s="115"/>
      <c r="E5" s="115"/>
      <c r="F5" s="115"/>
      <c r="G5" s="115"/>
      <c r="H5" s="115"/>
      <c r="I5" s="115"/>
      <c r="J5" s="115"/>
      <c r="K5" s="178"/>
    </row>
    <row r="6" spans="2:11" ht="24" customHeight="1">
      <c r="B6" s="286" t="s">
        <v>594</v>
      </c>
      <c r="C6" s="286"/>
      <c r="D6" s="286"/>
      <c r="E6" s="286"/>
      <c r="F6" s="78" t="s">
        <v>9</v>
      </c>
      <c r="G6" s="140" t="str">
        <f>VLOOKUP('POBLACIÓN TOTAL'!J6,BASE!B3:B127,1,0)</f>
        <v>Villa Comaltitlán</v>
      </c>
      <c r="H6" s="141"/>
      <c r="I6" s="141"/>
      <c r="J6" s="179"/>
      <c r="K6" s="180"/>
    </row>
    <row r="7" spans="2:11" ht="19.5" customHeight="1" thickBot="1">
      <c r="B7" s="115"/>
      <c r="C7" s="115"/>
      <c r="D7" s="115"/>
      <c r="E7" s="115"/>
      <c r="F7" s="115"/>
      <c r="G7" s="115"/>
      <c r="H7" s="115"/>
      <c r="I7" s="115"/>
      <c r="J7" s="115"/>
      <c r="K7" s="181"/>
    </row>
    <row r="8" spans="2:11" ht="28.5" customHeight="1">
      <c r="B8" s="287" t="s">
        <v>917</v>
      </c>
      <c r="C8" s="288"/>
      <c r="D8" s="289"/>
      <c r="E8" s="160"/>
      <c r="F8" s="287" t="s">
        <v>922</v>
      </c>
      <c r="G8" s="288"/>
      <c r="H8" s="288"/>
      <c r="I8" s="289"/>
      <c r="J8" s="115"/>
      <c r="K8" s="115"/>
    </row>
    <row r="9" spans="2:11" ht="25.5" customHeight="1">
      <c r="B9" s="182" t="s">
        <v>11</v>
      </c>
      <c r="C9" s="171">
        <f>C10+C11</f>
        <v>4537</v>
      </c>
      <c r="D9" s="183" t="s">
        <v>361</v>
      </c>
      <c r="E9" s="160"/>
      <c r="F9" s="184"/>
      <c r="G9" s="185" t="s">
        <v>11</v>
      </c>
      <c r="H9" s="185" t="s">
        <v>12</v>
      </c>
      <c r="I9" s="183" t="s">
        <v>13</v>
      </c>
      <c r="J9" s="115"/>
      <c r="K9" s="115"/>
    </row>
    <row r="10" spans="2:11" ht="25.5" customHeight="1">
      <c r="B10" s="168" t="s">
        <v>12</v>
      </c>
      <c r="C10" s="124">
        <f>VLOOKUP(G6,BASE!B3:LD127,315,0)</f>
        <v>2296</v>
      </c>
      <c r="D10" s="125">
        <f>C10/C9</f>
        <v>0.50606127396958345</v>
      </c>
      <c r="E10" s="160"/>
      <c r="F10" s="186" t="s">
        <v>919</v>
      </c>
      <c r="G10" s="124">
        <f>H10+I10</f>
        <v>8135</v>
      </c>
      <c r="H10" s="124">
        <f>VLOOKUP(G6,BASE!B3:KT127,305,0)</f>
        <v>4102</v>
      </c>
      <c r="I10" s="133">
        <f>VLOOKUP(G6,BASE!B3:KU127,306,0)</f>
        <v>4033</v>
      </c>
      <c r="J10" s="115"/>
      <c r="K10" s="115"/>
    </row>
    <row r="11" spans="2:11" ht="25.5" customHeight="1" thickBot="1">
      <c r="B11" s="169" t="s">
        <v>13</v>
      </c>
      <c r="C11" s="128">
        <f>VLOOKUP(G6,BASE!B3:LE127,316,0)</f>
        <v>2241</v>
      </c>
      <c r="D11" s="129">
        <f>C11/C9</f>
        <v>0.49393872603041655</v>
      </c>
      <c r="E11" s="160"/>
      <c r="F11" s="187" t="s">
        <v>1053</v>
      </c>
      <c r="G11" s="121">
        <f t="shared" ref="G11:G13" si="0">H11+I11</f>
        <v>6692</v>
      </c>
      <c r="H11" s="121">
        <f>VLOOKUP(G6,BASE!B3:KV127,307,0)</f>
        <v>3382</v>
      </c>
      <c r="I11" s="132">
        <f>VLOOKUP(G6,BASE!B3:KZ127,311,0)</f>
        <v>3310</v>
      </c>
      <c r="J11" s="115"/>
      <c r="K11" s="115"/>
    </row>
    <row r="12" spans="2:11" ht="25.5" customHeight="1" thickBot="1">
      <c r="B12" s="160"/>
      <c r="C12" s="160"/>
      <c r="D12" s="160"/>
      <c r="E12" s="160"/>
      <c r="F12" s="186" t="s">
        <v>1054</v>
      </c>
      <c r="G12" s="124">
        <f t="shared" si="0"/>
        <v>935</v>
      </c>
      <c r="H12" s="124">
        <f>VLOOKUP(G6,BASE!B3:KW127,308,0)</f>
        <v>471</v>
      </c>
      <c r="I12" s="133">
        <f>VLOOKUP(G6,BASE!B3:LA127,312,0)</f>
        <v>464</v>
      </c>
      <c r="J12" s="115"/>
      <c r="K12" s="115"/>
    </row>
    <row r="13" spans="2:11" ht="29.25" customHeight="1" thickBot="1">
      <c r="B13" s="287" t="s">
        <v>916</v>
      </c>
      <c r="C13" s="288"/>
      <c r="D13" s="289"/>
      <c r="E13" s="160"/>
      <c r="F13" s="188" t="s">
        <v>915</v>
      </c>
      <c r="G13" s="128">
        <f t="shared" si="0"/>
        <v>329</v>
      </c>
      <c r="H13" s="128">
        <f>VLOOKUP(G6,BASE!B3:KX127,309,0)</f>
        <v>166</v>
      </c>
      <c r="I13" s="135">
        <f>VLOOKUP(G6,BASE!B3:LB127,313,0)</f>
        <v>163</v>
      </c>
      <c r="J13" s="115"/>
      <c r="K13" s="115"/>
    </row>
    <row r="14" spans="2:11" ht="25.5" customHeight="1">
      <c r="B14" s="182" t="s">
        <v>11</v>
      </c>
      <c r="C14" s="171">
        <f>C15+C16</f>
        <v>2602</v>
      </c>
      <c r="D14" s="172">
        <f>C14/VLOOKUP(G6,BASE!B3:LH127,319,0)</f>
        <v>0.12246434790793995</v>
      </c>
      <c r="E14" s="160"/>
      <c r="F14" s="189"/>
      <c r="G14" s="190"/>
      <c r="H14" s="190"/>
      <c r="I14" s="190"/>
      <c r="J14" s="115"/>
      <c r="K14" s="115"/>
    </row>
    <row r="15" spans="2:11" ht="25.5" customHeight="1" thickBot="1">
      <c r="B15" s="168" t="s">
        <v>12</v>
      </c>
      <c r="C15" s="124">
        <f>VLOOKUP(G6,BASE!B3:LF127,317,0)</f>
        <v>1111</v>
      </c>
      <c r="D15" s="125">
        <f>C15/C14</f>
        <v>0.42697924673328208</v>
      </c>
      <c r="E15" s="160"/>
      <c r="F15" s="191"/>
      <c r="G15" s="191"/>
      <c r="H15" s="191"/>
      <c r="I15" s="191"/>
      <c r="J15" s="115"/>
      <c r="K15" s="115"/>
    </row>
    <row r="16" spans="2:11" ht="25.5" customHeight="1" thickBot="1">
      <c r="B16" s="169" t="s">
        <v>13</v>
      </c>
      <c r="C16" s="128">
        <f>VLOOKUP(G6,BASE!B3:LG127,318,0)</f>
        <v>1491</v>
      </c>
      <c r="D16" s="129">
        <f>C16/C14</f>
        <v>0.57302075326671786</v>
      </c>
      <c r="E16" s="160"/>
      <c r="F16" s="290" t="s">
        <v>911</v>
      </c>
      <c r="G16" s="291"/>
      <c r="H16" s="291"/>
      <c r="I16" s="292"/>
      <c r="J16" s="115"/>
      <c r="K16" s="115"/>
    </row>
    <row r="17" spans="2:11" ht="25.5" customHeight="1">
      <c r="B17" s="160"/>
      <c r="C17" s="160"/>
      <c r="D17" s="160"/>
      <c r="E17" s="160"/>
      <c r="F17" s="184"/>
      <c r="G17" s="185" t="s">
        <v>11</v>
      </c>
      <c r="H17" s="185" t="s">
        <v>12</v>
      </c>
      <c r="I17" s="183" t="s">
        <v>13</v>
      </c>
      <c r="J17" s="115"/>
      <c r="K17" s="115"/>
    </row>
    <row r="18" spans="2:11" ht="25.5" customHeight="1">
      <c r="B18" s="160"/>
      <c r="C18" s="160"/>
      <c r="D18" s="160"/>
      <c r="E18" s="160"/>
      <c r="F18" s="186" t="s">
        <v>912</v>
      </c>
      <c r="G18" s="124">
        <f t="shared" ref="G18:G24" si="1">H18+I18</f>
        <v>86</v>
      </c>
      <c r="H18" s="124">
        <f>VLOOKUP(G6,BASE!B3:LI127,320,0)</f>
        <v>42</v>
      </c>
      <c r="I18" s="133">
        <f>VLOOKUP(G6,BASE!B3:LP127,327,0)</f>
        <v>44</v>
      </c>
      <c r="J18" s="115"/>
      <c r="K18" s="115"/>
    </row>
    <row r="19" spans="2:11" ht="25.5" customHeight="1">
      <c r="B19" s="160"/>
      <c r="C19" s="160"/>
      <c r="D19" s="160"/>
      <c r="E19" s="160"/>
      <c r="F19" s="187" t="s">
        <v>913</v>
      </c>
      <c r="G19" s="121">
        <f t="shared" si="1"/>
        <v>3490</v>
      </c>
      <c r="H19" s="121">
        <f>VLOOKUP(G6,BASE!B3:LJ127,321,0)</f>
        <v>1832</v>
      </c>
      <c r="I19" s="132">
        <f>VLOOKUP(G6,BASE!B3:LQ127,328,0)</f>
        <v>1658</v>
      </c>
      <c r="J19" s="115"/>
      <c r="K19" s="115"/>
    </row>
    <row r="20" spans="2:11" ht="25.5" customHeight="1">
      <c r="B20" s="160"/>
      <c r="C20" s="160"/>
      <c r="D20" s="160"/>
      <c r="E20" s="160"/>
      <c r="F20" s="186" t="s">
        <v>1003</v>
      </c>
      <c r="G20" s="124">
        <f t="shared" si="1"/>
        <v>751</v>
      </c>
      <c r="H20" s="124">
        <f>VLOOKUP(G6,BASE!B3:LK127,322,0)</f>
        <v>425</v>
      </c>
      <c r="I20" s="133">
        <f>VLOOKUP(G6,BASE!B3:LR127,329,0)</f>
        <v>326</v>
      </c>
      <c r="J20" s="115"/>
      <c r="K20" s="115"/>
    </row>
    <row r="21" spans="2:11" ht="25.5" customHeight="1">
      <c r="B21" s="311" t="s">
        <v>918</v>
      </c>
      <c r="C21" s="311"/>
      <c r="D21" s="311"/>
      <c r="E21" s="160"/>
      <c r="F21" s="187" t="s">
        <v>1004</v>
      </c>
      <c r="G21" s="121">
        <f t="shared" si="1"/>
        <v>4848</v>
      </c>
      <c r="H21" s="121">
        <f>VLOOKUP(G6,BASE!B3:LL127,323,0)</f>
        <v>2540</v>
      </c>
      <c r="I21" s="132">
        <f>VLOOKUP(G6,BASE!B3:LS127,330,0)</f>
        <v>2308</v>
      </c>
      <c r="J21" s="115"/>
      <c r="K21" s="115"/>
    </row>
    <row r="22" spans="2:11" ht="25.5" customHeight="1">
      <c r="B22" s="192" t="s">
        <v>11</v>
      </c>
      <c r="C22" s="309">
        <f>VLOOKUP(G6,BASE!B3:LW126,332,0)</f>
        <v>1514</v>
      </c>
      <c r="D22" s="309"/>
      <c r="E22" s="160"/>
      <c r="F22" s="186" t="s">
        <v>914</v>
      </c>
      <c r="G22" s="124">
        <f t="shared" si="1"/>
        <v>12</v>
      </c>
      <c r="H22" s="124">
        <f>VLOOKUP(G6,BASE!B3:LM127,324,0)</f>
        <v>5</v>
      </c>
      <c r="I22" s="133">
        <f>VLOOKUP(G6,BASE!B3:LT127,331,0)</f>
        <v>7</v>
      </c>
      <c r="J22" s="115"/>
      <c r="K22" s="115"/>
    </row>
    <row r="23" spans="2:11" ht="24.75" customHeight="1">
      <c r="B23" s="193" t="s">
        <v>12</v>
      </c>
      <c r="C23" s="310">
        <f>VLOOKUP(G6,BASE!B3:LX126,333,0)</f>
        <v>357</v>
      </c>
      <c r="D23" s="310"/>
      <c r="E23" s="160"/>
      <c r="F23" s="187" t="s">
        <v>1005</v>
      </c>
      <c r="G23" s="121">
        <f t="shared" si="1"/>
        <v>3137</v>
      </c>
      <c r="H23" s="121">
        <f>VLOOKUP(G6,BASE!B3:LN127,325,0)</f>
        <v>1623</v>
      </c>
      <c r="I23" s="132">
        <f>VLOOKUP(G6,BASE!B3:LU127,332,0)</f>
        <v>1514</v>
      </c>
      <c r="J23" s="115"/>
      <c r="K23" s="115"/>
    </row>
    <row r="24" spans="2:11" ht="28.5" customHeight="1" thickBot="1">
      <c r="B24" s="193" t="s">
        <v>13</v>
      </c>
      <c r="C24" s="310">
        <f>VLOOKUP(G6,BASE!B3:LY126,334,0)</f>
        <v>0</v>
      </c>
      <c r="D24" s="310"/>
      <c r="E24" s="160"/>
      <c r="F24" s="194" t="s">
        <v>915</v>
      </c>
      <c r="G24" s="175">
        <f t="shared" si="1"/>
        <v>835</v>
      </c>
      <c r="H24" s="175">
        <f>VLOOKUP(G6,BASE!B3:LO127,326,0)</f>
        <v>478</v>
      </c>
      <c r="I24" s="139">
        <f>VLOOKUP(G6,BASE!B3:LV127,333,0)</f>
        <v>357</v>
      </c>
      <c r="J24" s="115"/>
      <c r="K24" s="115"/>
    </row>
    <row r="25" spans="2:11" ht="18" customHeight="1"/>
    <row r="26" spans="2:11" ht="28.5" customHeight="1">
      <c r="B26" s="31"/>
    </row>
    <row r="27" spans="2:11" ht="28.5" customHeight="1">
      <c r="B27" s="32"/>
      <c r="C27" s="32"/>
      <c r="D27" s="32"/>
    </row>
    <row r="28" spans="2:11" ht="28.5" customHeight="1">
      <c r="B28" s="32"/>
      <c r="C28" s="32"/>
      <c r="D28" s="32"/>
    </row>
    <row r="29" spans="2:11" ht="28.5" customHeight="1"/>
  </sheetData>
  <sheetProtection algorithmName="SHA-512" hashValue="n09WFvTSg3XaHB8Ddh8heV8dux6p+Fwvq+kzNs7vDEEgsRMidHfxPT5fl5LpH/b/YZVXC8Il9CQnejDgdYpWUQ==" saltValue="WTjrEk4ZVTNk5NSozAYKvw==" spinCount="100000" sheet="1" objects="1" scenarios="1"/>
  <mergeCells count="9">
    <mergeCell ref="B6:E6"/>
    <mergeCell ref="C22:D22"/>
    <mergeCell ref="C23:D23"/>
    <mergeCell ref="C24:D24"/>
    <mergeCell ref="F16:I16"/>
    <mergeCell ref="B21:D21"/>
    <mergeCell ref="B8:D8"/>
    <mergeCell ref="B13:D13"/>
    <mergeCell ref="F8:I8"/>
  </mergeCells>
  <hyperlinks>
    <hyperlink ref="K4" location="PRESENTACIÓN!C6" display="INICIO" xr:uid="{00000000-0004-0000-0600-000000000000}"/>
  </hyperlinks>
  <pageMargins left="0.43307086614173229" right="0.23622047244094491" top="0" bottom="0" header="0" footer="0"/>
  <pageSetup orientation="landscape" r:id="rId1"/>
  <ignoredErrors>
    <ignoredError sqref="G11:G13 G18:G24"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T36"/>
  <sheetViews>
    <sheetView zoomScaleNormal="100" workbookViewId="0">
      <selection activeCell="N18" sqref="N18:Q18"/>
    </sheetView>
  </sheetViews>
  <sheetFormatPr baseColWidth="10" defaultRowHeight="12"/>
  <cols>
    <col min="1" max="1" width="3.85546875" style="20" customWidth="1"/>
    <col min="2" max="2" width="22" style="20" customWidth="1"/>
    <col min="3" max="3" width="10.7109375" style="20" customWidth="1"/>
    <col min="4" max="4" width="9.7109375" style="20" customWidth="1"/>
    <col min="5" max="5" width="4.28515625" style="20" customWidth="1"/>
    <col min="6" max="8" width="11.42578125" style="20"/>
    <col min="9" max="9" width="3.5703125" style="20" customWidth="1"/>
    <col min="10" max="10" width="19.85546875" style="20" customWidth="1"/>
    <col min="11" max="12" width="10.140625" style="20" customWidth="1"/>
    <col min="13" max="13" width="3.7109375" style="20" customWidth="1"/>
    <col min="14" max="17" width="11.42578125" style="35"/>
    <col min="18" max="18" width="11.42578125" style="57"/>
    <col min="19" max="16384" width="11.42578125" style="20"/>
  </cols>
  <sheetData>
    <row r="1" spans="2:12" ht="18.75" customHeight="1"/>
    <row r="2" spans="2:12" ht="18.75" customHeight="1"/>
    <row r="3" spans="2:12" ht="18.75" customHeight="1"/>
    <row r="4" spans="2:12" ht="18.75" customHeight="1">
      <c r="B4" s="72" t="s">
        <v>3</v>
      </c>
      <c r="C4" s="115"/>
      <c r="D4" s="115"/>
      <c r="E4" s="115"/>
      <c r="F4" s="115"/>
      <c r="G4" s="115"/>
      <c r="H4" s="115"/>
      <c r="I4" s="115"/>
      <c r="J4" s="115"/>
      <c r="K4" s="115"/>
      <c r="L4" s="76" t="s">
        <v>953</v>
      </c>
    </row>
    <row r="5" spans="2:12" ht="18.75" customHeight="1">
      <c r="B5" s="77" t="s">
        <v>638</v>
      </c>
      <c r="C5" s="115"/>
      <c r="D5" s="115"/>
      <c r="E5" s="115"/>
      <c r="F5" s="115"/>
      <c r="G5" s="115"/>
      <c r="H5" s="115"/>
      <c r="I5" s="115"/>
      <c r="J5" s="115"/>
      <c r="K5" s="115"/>
      <c r="L5" s="115"/>
    </row>
    <row r="6" spans="2:12" ht="22.5" customHeight="1">
      <c r="B6" s="117" t="s">
        <v>594</v>
      </c>
      <c r="C6" s="115"/>
      <c r="D6" s="115"/>
      <c r="E6" s="115"/>
      <c r="F6" s="115"/>
      <c r="G6" s="115"/>
      <c r="H6" s="78" t="s">
        <v>9</v>
      </c>
      <c r="I6" s="79" t="str">
        <f>VLOOKUP('POBLACIÓN TOTAL'!J6,BASE!B3:B127,1,0)</f>
        <v>Villa Comaltitlán</v>
      </c>
      <c r="J6" s="79"/>
      <c r="K6" s="140"/>
      <c r="L6" s="179"/>
    </row>
    <row r="7" spans="2:12" ht="18.75" customHeight="1" thickBot="1">
      <c r="B7" s="115"/>
      <c r="C7" s="115"/>
      <c r="D7" s="115"/>
      <c r="E7" s="115"/>
      <c r="F7" s="115"/>
      <c r="G7" s="115"/>
      <c r="H7" s="115"/>
      <c r="I7" s="115"/>
      <c r="J7" s="115"/>
      <c r="K7" s="115"/>
      <c r="L7" s="115"/>
    </row>
    <row r="8" spans="2:12" ht="37.5" customHeight="1">
      <c r="B8" s="315" t="s">
        <v>673</v>
      </c>
      <c r="C8" s="316"/>
      <c r="D8" s="317"/>
      <c r="E8" s="115"/>
      <c r="F8" s="312" t="s">
        <v>657</v>
      </c>
      <c r="G8" s="313"/>
      <c r="H8" s="314"/>
      <c r="I8" s="115"/>
      <c r="J8" s="312" t="s">
        <v>658</v>
      </c>
      <c r="K8" s="313"/>
      <c r="L8" s="314"/>
    </row>
    <row r="9" spans="2:12" ht="23.25" customHeight="1">
      <c r="B9" s="195" t="s">
        <v>671</v>
      </c>
      <c r="C9" s="196">
        <f>C10+C11</f>
        <v>13026</v>
      </c>
      <c r="D9" s="197"/>
      <c r="E9" s="115"/>
      <c r="F9" s="198" t="s">
        <v>11</v>
      </c>
      <c r="G9" s="199" t="s">
        <v>12</v>
      </c>
      <c r="H9" s="200" t="s">
        <v>13</v>
      </c>
      <c r="I9" s="201"/>
      <c r="J9" s="195" t="s">
        <v>669</v>
      </c>
      <c r="K9" s="196">
        <f>VLOOKUP(I6,BASE!B3:FD127,159,0)</f>
        <v>1612</v>
      </c>
      <c r="L9" s="197">
        <f>K9/C9</f>
        <v>0.12375249500998003</v>
      </c>
    </row>
    <row r="10" spans="2:12" ht="20.25" customHeight="1" thickBot="1">
      <c r="B10" s="202" t="s">
        <v>12</v>
      </c>
      <c r="C10" s="196">
        <f>VLOOKUP(I6,BASE!B3:EQ127,146,0)</f>
        <v>8579</v>
      </c>
      <c r="D10" s="197">
        <f>C10/C9</f>
        <v>0.65860586519269149</v>
      </c>
      <c r="E10" s="115"/>
      <c r="F10" s="203">
        <f>C12/C9</f>
        <v>0.99293720251804085</v>
      </c>
      <c r="G10" s="204">
        <f>C13/C10</f>
        <v>0.99265648677001983</v>
      </c>
      <c r="H10" s="205">
        <f>C14/C11</f>
        <v>0.99347874971891159</v>
      </c>
      <c r="I10" s="201"/>
      <c r="J10" s="206" t="s">
        <v>663</v>
      </c>
      <c r="K10" s="158">
        <f>VLOOKUP(I6,BASE!B3:FE127,160,0)</f>
        <v>4336</v>
      </c>
      <c r="L10" s="207">
        <f>K10/C9</f>
        <v>0.33287271610624902</v>
      </c>
    </row>
    <row r="11" spans="2:12" ht="26.25" customHeight="1">
      <c r="B11" s="202" t="s">
        <v>13</v>
      </c>
      <c r="C11" s="196">
        <f>VLOOKUP(I6,BASE!B3:EU127,150,0)</f>
        <v>4447</v>
      </c>
      <c r="D11" s="197">
        <f>C11/C9</f>
        <v>0.34139413480730846</v>
      </c>
      <c r="E11" s="115"/>
      <c r="F11" s="115"/>
      <c r="G11" s="115"/>
      <c r="H11" s="115"/>
      <c r="I11" s="115"/>
      <c r="J11" s="195" t="s">
        <v>664</v>
      </c>
      <c r="K11" s="196">
        <f>VLOOKUP(I6,BASE!B3:FF127,161,0)</f>
        <v>536</v>
      </c>
      <c r="L11" s="197">
        <f>K11/C9</f>
        <v>4.1148472286196836E-2</v>
      </c>
    </row>
    <row r="12" spans="2:12" ht="22.5" customHeight="1">
      <c r="B12" s="206" t="s">
        <v>674</v>
      </c>
      <c r="C12" s="158">
        <f>C13+C14</f>
        <v>12934</v>
      </c>
      <c r="D12" s="207">
        <f>C12/C9</f>
        <v>0.99293720251804085</v>
      </c>
      <c r="E12" s="115"/>
      <c r="F12" s="115"/>
      <c r="G12" s="115"/>
      <c r="H12" s="115"/>
      <c r="I12" s="115"/>
      <c r="J12" s="206" t="s">
        <v>665</v>
      </c>
      <c r="K12" s="158">
        <f>VLOOKUP(I6,BASE!B3:FG127,162,0)</f>
        <v>2810</v>
      </c>
      <c r="L12" s="207">
        <f>K12/C9</f>
        <v>0.21572240135114387</v>
      </c>
    </row>
    <row r="13" spans="2:12" ht="24" customHeight="1">
      <c r="B13" s="208" t="s">
        <v>12</v>
      </c>
      <c r="C13" s="158">
        <f>VLOOKUP(I6,BASE!B3:ER127,147,0)</f>
        <v>8516</v>
      </c>
      <c r="D13" s="207">
        <f>C13/C12</f>
        <v>0.65841966908922223</v>
      </c>
      <c r="E13" s="115"/>
      <c r="F13" s="115"/>
      <c r="G13" s="115"/>
      <c r="H13" s="115"/>
      <c r="I13" s="115"/>
      <c r="J13" s="195" t="s">
        <v>666</v>
      </c>
      <c r="K13" s="196">
        <f>VLOOKUP(I6,BASE!B3:FH127,163,0)</f>
        <v>11</v>
      </c>
      <c r="L13" s="197">
        <f>K13/C9</f>
        <v>8.4446491632120377E-4</v>
      </c>
    </row>
    <row r="14" spans="2:12" ht="20.25" customHeight="1">
      <c r="B14" s="208" t="s">
        <v>13</v>
      </c>
      <c r="C14" s="158">
        <f>VLOOKUP(I6,BASE!B3:EV127,151,0)</f>
        <v>4418</v>
      </c>
      <c r="D14" s="207">
        <f>C14/C12</f>
        <v>0.34158033091077777</v>
      </c>
      <c r="E14" s="115"/>
      <c r="F14" s="115"/>
      <c r="G14" s="115"/>
      <c r="H14" s="115"/>
      <c r="I14" s="115"/>
      <c r="J14" s="206" t="s">
        <v>667</v>
      </c>
      <c r="K14" s="158">
        <f>VLOOKUP(I6,BASE!B3:FI127,164,0)</f>
        <v>2553</v>
      </c>
      <c r="L14" s="207">
        <f>K14/C9</f>
        <v>0.19599263012436666</v>
      </c>
    </row>
    <row r="15" spans="2:12" ht="20.25" customHeight="1" thickBot="1">
      <c r="B15" s="195" t="s">
        <v>672</v>
      </c>
      <c r="C15" s="196">
        <f>C16+C17</f>
        <v>92</v>
      </c>
      <c r="D15" s="197">
        <f>C15/C9</f>
        <v>7.0627974819591583E-3</v>
      </c>
      <c r="E15" s="115"/>
      <c r="F15" s="115"/>
      <c r="G15" s="115"/>
      <c r="H15" s="115"/>
      <c r="I15" s="115"/>
      <c r="J15" s="209" t="s">
        <v>668</v>
      </c>
      <c r="K15" s="210">
        <f>VLOOKUP(I6,BASE!B3:FJ127,165,0)</f>
        <v>1165</v>
      </c>
      <c r="L15" s="211">
        <f>K15/C9</f>
        <v>8.9436511592200216E-2</v>
      </c>
    </row>
    <row r="16" spans="2:12" ht="20.25" customHeight="1">
      <c r="B16" s="202" t="s">
        <v>12</v>
      </c>
      <c r="C16" s="196">
        <f>VLOOKUP(I6,BASE!B3:ES127,148,0)</f>
        <v>63</v>
      </c>
      <c r="D16" s="197">
        <f>C16/C15</f>
        <v>0.68478260869565222</v>
      </c>
      <c r="E16" s="115"/>
      <c r="F16" s="115"/>
      <c r="G16" s="115"/>
      <c r="H16" s="115"/>
      <c r="I16" s="115"/>
      <c r="J16" s="115"/>
      <c r="K16" s="115"/>
      <c r="L16" s="115"/>
    </row>
    <row r="17" spans="2:20" ht="20.25" customHeight="1">
      <c r="B17" s="202" t="s">
        <v>13</v>
      </c>
      <c r="C17" s="196">
        <f>VLOOKUP(I6,BASE!B3:EW127,152,0)</f>
        <v>29</v>
      </c>
      <c r="D17" s="197">
        <f>C17/C15</f>
        <v>0.31521739130434784</v>
      </c>
      <c r="E17" s="115"/>
      <c r="F17" s="115"/>
      <c r="G17" s="115"/>
      <c r="H17" s="115"/>
      <c r="I17" s="115"/>
      <c r="J17" s="115"/>
      <c r="K17" s="115"/>
      <c r="L17" s="115"/>
    </row>
    <row r="18" spans="2:20" ht="36" customHeight="1">
      <c r="B18" s="206" t="s">
        <v>670</v>
      </c>
      <c r="C18" s="158">
        <f>C19+C20</f>
        <v>9836</v>
      </c>
      <c r="D18" s="207"/>
      <c r="E18" s="115"/>
      <c r="F18" s="115"/>
      <c r="G18" s="115"/>
      <c r="H18" s="115"/>
      <c r="I18" s="115"/>
      <c r="J18" s="115"/>
      <c r="K18" s="115"/>
      <c r="L18" s="115"/>
      <c r="N18" s="318" t="s">
        <v>16</v>
      </c>
      <c r="O18" s="318"/>
      <c r="P18" s="318"/>
      <c r="Q18" s="318"/>
    </row>
    <row r="19" spans="2:20" ht="20.25" customHeight="1">
      <c r="B19" s="208" t="s">
        <v>12</v>
      </c>
      <c r="C19" s="158">
        <f>VLOOKUP(I6,BASE!B3:ET127,149,0)</f>
        <v>3263</v>
      </c>
      <c r="D19" s="207">
        <f>C19/C18</f>
        <v>0.33174054493696625</v>
      </c>
      <c r="E19" s="115"/>
      <c r="F19" s="115"/>
      <c r="G19" s="115"/>
      <c r="H19" s="115"/>
      <c r="I19" s="115"/>
      <c r="J19" s="115"/>
      <c r="K19" s="115"/>
      <c r="L19" s="115"/>
      <c r="N19" s="318" t="s">
        <v>639</v>
      </c>
      <c r="O19" s="318"/>
      <c r="P19" s="318"/>
      <c r="Q19" s="318"/>
    </row>
    <row r="20" spans="2:20" ht="20.25" customHeight="1" thickBot="1">
      <c r="B20" s="212" t="s">
        <v>13</v>
      </c>
      <c r="C20" s="213">
        <f>VLOOKUP(I6,BASE!B3:EX127,153,0)</f>
        <v>6573</v>
      </c>
      <c r="D20" s="205">
        <f>C20/C18</f>
        <v>0.66825945506303375</v>
      </c>
      <c r="E20" s="115"/>
      <c r="F20" s="115"/>
      <c r="G20" s="115"/>
      <c r="H20" s="115"/>
      <c r="I20" s="115"/>
      <c r="J20" s="115"/>
      <c r="K20" s="115"/>
      <c r="L20" s="115"/>
      <c r="N20" s="56" t="s">
        <v>708</v>
      </c>
      <c r="O20" s="56" t="s">
        <v>14</v>
      </c>
      <c r="P20" s="56" t="s">
        <v>15</v>
      </c>
      <c r="Q20" s="56" t="s">
        <v>709</v>
      </c>
    </row>
    <row r="21" spans="2:20" ht="22.5" customHeight="1" thickBot="1">
      <c r="B21" s="115"/>
      <c r="C21" s="115"/>
      <c r="D21" s="115"/>
      <c r="E21" s="115"/>
      <c r="F21" s="115"/>
      <c r="G21" s="115"/>
      <c r="H21" s="115"/>
      <c r="I21" s="115"/>
      <c r="J21" s="115"/>
      <c r="K21" s="115"/>
      <c r="L21" s="115"/>
      <c r="N21" s="27">
        <f>VLOOKUP(I6,BASE!B3:FK127,164,0)</f>
        <v>2553</v>
      </c>
      <c r="O21" s="27">
        <f>VLOOKUP(I6,BASE!B3:FL127,165,0)</f>
        <v>1165</v>
      </c>
      <c r="P21" s="27" t="str">
        <f>VLOOKUP(I6,BASE!B3:FM127,166,0)</f>
        <v>ND</v>
      </c>
      <c r="Q21" s="27" t="str">
        <f>VLOOKUP(I6,BASE!B3:FN127,167,0)</f>
        <v>ND</v>
      </c>
    </row>
    <row r="22" spans="2:20" ht="30.75" customHeight="1">
      <c r="B22" s="323" t="s">
        <v>685</v>
      </c>
      <c r="C22" s="324"/>
      <c r="D22" s="324"/>
      <c r="E22" s="324"/>
      <c r="F22" s="324"/>
      <c r="G22" s="324"/>
      <c r="H22" s="324"/>
      <c r="I22" s="324"/>
      <c r="J22" s="325"/>
      <c r="K22" s="115"/>
      <c r="L22" s="115"/>
      <c r="N22" s="63"/>
      <c r="O22" s="63"/>
      <c r="P22" s="63"/>
      <c r="Q22" s="319"/>
    </row>
    <row r="23" spans="2:20" ht="45" customHeight="1">
      <c r="B23" s="214" t="s">
        <v>659</v>
      </c>
      <c r="C23" s="326" t="s">
        <v>660</v>
      </c>
      <c r="D23" s="326"/>
      <c r="E23" s="326" t="s">
        <v>661</v>
      </c>
      <c r="F23" s="326"/>
      <c r="G23" s="326" t="s">
        <v>662</v>
      </c>
      <c r="H23" s="326"/>
      <c r="I23" s="326" t="s">
        <v>10</v>
      </c>
      <c r="J23" s="327"/>
      <c r="K23" s="115"/>
      <c r="L23" s="115"/>
      <c r="N23" s="63"/>
      <c r="O23" s="63"/>
      <c r="P23" s="63"/>
      <c r="Q23" s="320"/>
    </row>
    <row r="24" spans="2:20" ht="36" customHeight="1" thickBot="1">
      <c r="B24" s="215">
        <f>VLOOKUP(I6,BASE!B3:EY127,154,0)</f>
        <v>41.320157000000002</v>
      </c>
      <c r="C24" s="321">
        <f>VLOOKUP(I6,BASE!B3:EZ127,155,0)</f>
        <v>12.390453000000001</v>
      </c>
      <c r="D24" s="321"/>
      <c r="E24" s="321">
        <f>VLOOKUP(I6,BASE!B3:FA127,156,0)</f>
        <v>15.821369000000001</v>
      </c>
      <c r="F24" s="321"/>
      <c r="G24" s="321">
        <f>VLOOKUP(I6,BASE!B3:FB127,157,0)</f>
        <v>29.964572</v>
      </c>
      <c r="H24" s="321"/>
      <c r="I24" s="321">
        <f>VLOOKUP(I6,BASE!B3:FC127,158,0)</f>
        <v>0.50344999999999995</v>
      </c>
      <c r="J24" s="322"/>
      <c r="K24" s="115"/>
      <c r="L24" s="115"/>
    </row>
    <row r="31" spans="2:20" ht="15" customHeight="1">
      <c r="O31" s="59"/>
      <c r="P31" s="59"/>
      <c r="Q31" s="59"/>
      <c r="R31" s="58"/>
      <c r="S31" s="24"/>
      <c r="T31" s="24"/>
    </row>
    <row r="32" spans="2:20" ht="72.75" customHeight="1">
      <c r="O32" s="59"/>
      <c r="P32" s="59"/>
      <c r="Q32" s="59"/>
      <c r="R32" s="58"/>
      <c r="S32" s="24"/>
      <c r="T32" s="24"/>
    </row>
    <row r="33" spans="15:20" ht="48.75" customHeight="1">
      <c r="O33" s="59"/>
      <c r="P33" s="59"/>
      <c r="Q33" s="59"/>
      <c r="R33" s="58"/>
      <c r="S33" s="24"/>
      <c r="T33" s="24"/>
    </row>
    <row r="34" spans="15:20" ht="15" customHeight="1">
      <c r="O34" s="59"/>
      <c r="P34" s="59"/>
      <c r="Q34" s="59"/>
      <c r="R34" s="58"/>
      <c r="S34" s="24"/>
      <c r="T34" s="24"/>
    </row>
    <row r="35" spans="15:20" ht="15" customHeight="1">
      <c r="O35" s="59"/>
      <c r="P35" s="59"/>
      <c r="Q35" s="59"/>
      <c r="R35" s="58"/>
      <c r="S35" s="24"/>
      <c r="T35" s="24"/>
    </row>
    <row r="36" spans="15:20" ht="15" customHeight="1">
      <c r="O36" s="59"/>
      <c r="P36" s="59"/>
      <c r="Q36" s="59"/>
      <c r="R36" s="58"/>
      <c r="S36" s="24"/>
      <c r="T36" s="24"/>
    </row>
  </sheetData>
  <sheetProtection algorithmName="SHA-512" hashValue="aOPgzryN4i6Ddwq+1L1gx15LFTlKh7UxwA7j9c/IjMUAN7TOz+DQ5ohj96O29dUewKXEJ1AcN2fZ9dzl7gxqPg==" saltValue="yrYD8cj+vWvMd3SdHF8k/w==" spinCount="100000" sheet="1" objects="1" scenarios="1"/>
  <mergeCells count="15">
    <mergeCell ref="Q22:Q23"/>
    <mergeCell ref="C24:D24"/>
    <mergeCell ref="E24:F24"/>
    <mergeCell ref="G24:H24"/>
    <mergeCell ref="I24:J24"/>
    <mergeCell ref="B22:J22"/>
    <mergeCell ref="C23:D23"/>
    <mergeCell ref="E23:F23"/>
    <mergeCell ref="G23:H23"/>
    <mergeCell ref="I23:J23"/>
    <mergeCell ref="F8:H8"/>
    <mergeCell ref="J8:L8"/>
    <mergeCell ref="B8:D8"/>
    <mergeCell ref="N19:Q19"/>
    <mergeCell ref="N18:Q18"/>
  </mergeCells>
  <hyperlinks>
    <hyperlink ref="L4" location="PRESENTACIÓN!C6" display="INICIO" xr:uid="{00000000-0004-0000-0700-000000000000}"/>
  </hyperlinks>
  <pageMargins left="0.43307086614173229" right="0.23622047244094491" top="0" bottom="0" header="0" footer="0"/>
  <pageSetup orientation="landscape" r:id="rId1"/>
  <ignoredErrors>
    <ignoredError sqref="L15 L9 L10 L11 L12 L13 L14"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K28"/>
  <sheetViews>
    <sheetView topLeftCell="A10" zoomScaleNormal="100" workbookViewId="0">
      <selection activeCell="M19" sqref="M19"/>
    </sheetView>
  </sheetViews>
  <sheetFormatPr baseColWidth="10" defaultRowHeight="12"/>
  <cols>
    <col min="1" max="1" width="5.5703125" style="20" customWidth="1"/>
    <col min="2" max="2" width="25.140625" style="20" customWidth="1"/>
    <col min="3" max="3" width="12.5703125" style="20" customWidth="1"/>
    <col min="4" max="4" width="12.42578125" style="20" customWidth="1"/>
    <col min="5" max="5" width="12" style="20" customWidth="1"/>
    <col min="6" max="7" width="9.5703125" style="20" customWidth="1"/>
    <col min="8" max="8" width="14" style="20" customWidth="1"/>
    <col min="9" max="10" width="11.42578125" style="20"/>
    <col min="11" max="11" width="10.7109375" style="20" customWidth="1"/>
    <col min="12" max="16384" width="11.42578125" style="20"/>
  </cols>
  <sheetData>
    <row r="1" spans="2:11" ht="18.75" customHeight="1"/>
    <row r="2" spans="2:11" ht="18.75" customHeight="1"/>
    <row r="3" spans="2:11" ht="18.75" customHeight="1"/>
    <row r="4" spans="2:11" ht="18.75" customHeight="1">
      <c r="B4" s="72" t="s">
        <v>3</v>
      </c>
      <c r="C4" s="115"/>
      <c r="D4" s="115"/>
      <c r="E4" s="115"/>
      <c r="F4" s="115"/>
      <c r="G4" s="115"/>
      <c r="H4" s="115"/>
      <c r="I4" s="115"/>
      <c r="J4" s="115"/>
      <c r="K4" s="76" t="s">
        <v>953</v>
      </c>
    </row>
    <row r="5" spans="2:11" ht="18.75" customHeight="1">
      <c r="B5" s="77" t="s">
        <v>36</v>
      </c>
      <c r="C5" s="115"/>
      <c r="D5" s="115"/>
      <c r="E5" s="115"/>
      <c r="F5" s="115"/>
      <c r="G5" s="115"/>
      <c r="H5" s="115"/>
      <c r="I5" s="115"/>
      <c r="J5" s="115"/>
      <c r="K5" s="115"/>
    </row>
    <row r="6" spans="2:11" ht="23.25" customHeight="1">
      <c r="B6" s="117" t="s">
        <v>594</v>
      </c>
      <c r="C6" s="115"/>
      <c r="D6" s="115"/>
      <c r="E6" s="115"/>
      <c r="F6" s="115"/>
      <c r="G6" s="78" t="s">
        <v>9</v>
      </c>
      <c r="H6" s="140" t="str">
        <f>VLOOKUP('POBLACIÓN TOTAL'!J6,BASE!B3:B127,1,0)</f>
        <v>Villa Comaltitlán</v>
      </c>
      <c r="I6" s="140"/>
      <c r="J6" s="140"/>
      <c r="K6" s="179"/>
    </row>
    <row r="7" spans="2:11" ht="18.75" customHeight="1" thickBot="1">
      <c r="B7" s="115"/>
      <c r="C7" s="115"/>
      <c r="D7" s="115"/>
      <c r="E7" s="115"/>
      <c r="F7" s="115"/>
      <c r="G7" s="115"/>
      <c r="H7" s="115"/>
      <c r="I7" s="115"/>
      <c r="J7" s="115"/>
      <c r="K7" s="115"/>
    </row>
    <row r="8" spans="2:11" ht="35.25" customHeight="1">
      <c r="B8" s="287" t="s">
        <v>985</v>
      </c>
      <c r="C8" s="288"/>
      <c r="D8" s="289"/>
      <c r="E8" s="115"/>
      <c r="F8" s="115"/>
      <c r="G8" s="115"/>
      <c r="H8" s="287" t="s">
        <v>986</v>
      </c>
      <c r="I8" s="288"/>
      <c r="J8" s="288"/>
      <c r="K8" s="289"/>
    </row>
    <row r="9" spans="2:11" ht="25.5" customHeight="1">
      <c r="B9" s="186" t="s">
        <v>988</v>
      </c>
      <c r="C9" s="124">
        <f>C10+C11</f>
        <v>16866</v>
      </c>
      <c r="D9" s="125">
        <f>C9/(C9+C12+C15)</f>
        <v>0.55668878106743247</v>
      </c>
      <c r="E9" s="115"/>
      <c r="F9" s="115"/>
      <c r="G9" s="115"/>
      <c r="H9" s="120" t="s">
        <v>714</v>
      </c>
      <c r="I9" s="216" t="s">
        <v>11</v>
      </c>
      <c r="J9" s="216" t="s">
        <v>12</v>
      </c>
      <c r="K9" s="122" t="s">
        <v>13</v>
      </c>
    </row>
    <row r="10" spans="2:11" ht="20.25" customHeight="1">
      <c r="B10" s="217" t="s">
        <v>12</v>
      </c>
      <c r="C10" s="124">
        <f>VLOOKUP(H6,BASE!B3:FO127,170,0)</f>
        <v>8013</v>
      </c>
      <c r="D10" s="125">
        <f>C10/C9</f>
        <v>0.4750978299537531</v>
      </c>
      <c r="E10" s="115"/>
      <c r="F10" s="115"/>
      <c r="G10" s="115"/>
      <c r="H10" s="126" t="s">
        <v>19</v>
      </c>
      <c r="I10" s="124">
        <f>J10+K10</f>
        <v>1515</v>
      </c>
      <c r="J10" s="124">
        <f>VLOOKUP($H$6,BASE!B3:GI127,190,0)</f>
        <v>758</v>
      </c>
      <c r="K10" s="133">
        <f>VLOOKUP($H$6,BASE!$B$3:HA127,208,0)</f>
        <v>757</v>
      </c>
    </row>
    <row r="11" spans="2:11" ht="20.25" customHeight="1">
      <c r="B11" s="217" t="s">
        <v>13</v>
      </c>
      <c r="C11" s="124">
        <f>VLOOKUP(H6,BASE!B3:FY127,180,0)</f>
        <v>8853</v>
      </c>
      <c r="D11" s="125">
        <f>C11/C9</f>
        <v>0.52490217004624684</v>
      </c>
      <c r="E11" s="115"/>
      <c r="F11" s="115"/>
      <c r="G11" s="115"/>
      <c r="H11" s="218" t="s">
        <v>20</v>
      </c>
      <c r="I11" s="121">
        <f t="shared" ref="I11:I27" si="0">J11+K11</f>
        <v>1999</v>
      </c>
      <c r="J11" s="121">
        <f>VLOOKUP(H6,BASE!B3:GJ127,191,0)</f>
        <v>973</v>
      </c>
      <c r="K11" s="132">
        <f>VLOOKUP($H$6,BASE!$B$3:HB127,209,0)</f>
        <v>1026</v>
      </c>
    </row>
    <row r="12" spans="2:11" ht="25.5" customHeight="1">
      <c r="B12" s="187" t="s">
        <v>989</v>
      </c>
      <c r="C12" s="121">
        <f>C13+C14</f>
        <v>13415</v>
      </c>
      <c r="D12" s="166">
        <f>C12/(C9+C12+C15)</f>
        <v>0.44278311383965407</v>
      </c>
      <c r="E12" s="115"/>
      <c r="F12" s="115"/>
      <c r="G12" s="115"/>
      <c r="H12" s="126" t="s">
        <v>21</v>
      </c>
      <c r="I12" s="124">
        <f t="shared" si="0"/>
        <v>1824</v>
      </c>
      <c r="J12" s="124">
        <f>VLOOKUP($H$6,BASE!B3:GK127,192,0)</f>
        <v>954</v>
      </c>
      <c r="K12" s="133">
        <f>VLOOKUP($H$6,BASE!$B$3:HC127,210,0)</f>
        <v>870</v>
      </c>
    </row>
    <row r="13" spans="2:11" ht="20.25" customHeight="1">
      <c r="B13" s="219" t="s">
        <v>12</v>
      </c>
      <c r="C13" s="121">
        <f>VLOOKUP(H6,BASE!B3:FP127,171,0)</f>
        <v>7556</v>
      </c>
      <c r="D13" s="166">
        <f>C13/C12</f>
        <v>0.56325009317927688</v>
      </c>
      <c r="E13" s="115"/>
      <c r="F13" s="115"/>
      <c r="G13" s="115"/>
      <c r="H13" s="218" t="s">
        <v>22</v>
      </c>
      <c r="I13" s="121">
        <f t="shared" si="0"/>
        <v>1599</v>
      </c>
      <c r="J13" s="121">
        <f>VLOOKUP($H$6,BASE!B3:GL127,193,0)</f>
        <v>791</v>
      </c>
      <c r="K13" s="132">
        <f>VLOOKUP($H$6,BASE!$B$3:HD127,211,0)</f>
        <v>808</v>
      </c>
    </row>
    <row r="14" spans="2:11" ht="20.25" customHeight="1">
      <c r="B14" s="219" t="s">
        <v>13</v>
      </c>
      <c r="C14" s="121">
        <f>VLOOKUP(H6,BASE!B3:FZ127,181,0)</f>
        <v>5859</v>
      </c>
      <c r="D14" s="166">
        <f>C14/C12</f>
        <v>0.43674990682072307</v>
      </c>
      <c r="E14" s="115"/>
      <c r="F14" s="115"/>
      <c r="G14" s="115"/>
      <c r="H14" s="126" t="s">
        <v>23</v>
      </c>
      <c r="I14" s="124">
        <f t="shared" si="0"/>
        <v>1140</v>
      </c>
      <c r="J14" s="124">
        <f>VLOOKUP($H$6,BASE!B3:GM127,194,0)</f>
        <v>468</v>
      </c>
      <c r="K14" s="133">
        <f>VLOOKUP($H$6,BASE!$B$3:HE127,212,0)</f>
        <v>672</v>
      </c>
    </row>
    <row r="15" spans="2:11" ht="20.25" customHeight="1">
      <c r="B15" s="186" t="s">
        <v>10</v>
      </c>
      <c r="C15" s="124">
        <f>C16+C17</f>
        <v>16</v>
      </c>
      <c r="D15" s="125">
        <f>C15/(C15+C12+C9)</f>
        <v>5.281050929134898E-4</v>
      </c>
      <c r="E15" s="115"/>
      <c r="F15" s="115"/>
      <c r="G15" s="115"/>
      <c r="H15" s="218" t="s">
        <v>24</v>
      </c>
      <c r="I15" s="121">
        <f t="shared" si="0"/>
        <v>1218</v>
      </c>
      <c r="J15" s="121">
        <f>VLOOKUP($H$6,BASE!B3:GN127,195,0)</f>
        <v>540</v>
      </c>
      <c r="K15" s="132">
        <f>VLOOKUP($H$6,BASE!$B$3:HF127,213,0)</f>
        <v>678</v>
      </c>
    </row>
    <row r="16" spans="2:11" ht="20.25" customHeight="1">
      <c r="B16" s="217" t="s">
        <v>12</v>
      </c>
      <c r="C16" s="124">
        <f>VLOOKUP(H6,BASE!B3:FX127,179,0)</f>
        <v>9</v>
      </c>
      <c r="D16" s="125">
        <f>C16/C15</f>
        <v>0.5625</v>
      </c>
      <c r="E16" s="115"/>
      <c r="F16" s="115"/>
      <c r="G16" s="115"/>
      <c r="H16" s="126" t="s">
        <v>25</v>
      </c>
      <c r="I16" s="124">
        <f t="shared" si="0"/>
        <v>1133</v>
      </c>
      <c r="J16" s="124">
        <f>VLOOKUP($H$6,BASE!B3:GO127,196,0)</f>
        <v>480</v>
      </c>
      <c r="K16" s="133">
        <f>VLOOKUP($H$6,BASE!$B$3:HG127,214,0)</f>
        <v>653</v>
      </c>
    </row>
    <row r="17" spans="2:11" ht="20.25" customHeight="1" thickBot="1">
      <c r="B17" s="220" t="s">
        <v>13</v>
      </c>
      <c r="C17" s="175">
        <f>VLOOKUP(H6,BASE!B3:GH127,189,0)</f>
        <v>7</v>
      </c>
      <c r="D17" s="176">
        <f>C17/C15</f>
        <v>0.4375</v>
      </c>
      <c r="E17" s="115"/>
      <c r="F17" s="115"/>
      <c r="G17" s="115"/>
      <c r="H17" s="218" t="s">
        <v>26</v>
      </c>
      <c r="I17" s="121">
        <f t="shared" si="0"/>
        <v>1105</v>
      </c>
      <c r="J17" s="121">
        <f>VLOOKUP($H$6,BASE!B3:GP127,197,0)</f>
        <v>488</v>
      </c>
      <c r="K17" s="132">
        <f>VLOOKUP($H$6,BASE!$B$3:HH127,215,0)</f>
        <v>617</v>
      </c>
    </row>
    <row r="18" spans="2:11" ht="18.75" customHeight="1" thickBot="1">
      <c r="B18" s="115"/>
      <c r="C18" s="115"/>
      <c r="D18" s="115"/>
      <c r="E18" s="115"/>
      <c r="F18" s="115"/>
      <c r="G18" s="115"/>
      <c r="H18" s="126" t="s">
        <v>27</v>
      </c>
      <c r="I18" s="124">
        <f t="shared" si="0"/>
        <v>980</v>
      </c>
      <c r="J18" s="124">
        <f>VLOOKUP($H$6,BASE!B3:GQ127,198,0)</f>
        <v>468</v>
      </c>
      <c r="K18" s="133">
        <f>VLOOKUP($H$6,BASE!$B$3:HI127,216,0)</f>
        <v>512</v>
      </c>
    </row>
    <row r="19" spans="2:11" ht="27" customHeight="1">
      <c r="B19" s="287" t="s">
        <v>987</v>
      </c>
      <c r="C19" s="288"/>
      <c r="D19" s="288"/>
      <c r="E19" s="289"/>
      <c r="F19" s="221"/>
      <c r="G19" s="115"/>
      <c r="H19" s="218" t="s">
        <v>28</v>
      </c>
      <c r="I19" s="121">
        <f t="shared" si="0"/>
        <v>895</v>
      </c>
      <c r="J19" s="121">
        <f>VLOOKUP($H$6,BASE!B3:GR127,199,0)</f>
        <v>386</v>
      </c>
      <c r="K19" s="132">
        <f>VLOOKUP($H$6,BASE!$B$3:HJ127,217,0)</f>
        <v>509</v>
      </c>
    </row>
    <row r="20" spans="2:11" ht="19.5" customHeight="1">
      <c r="B20" s="222"/>
      <c r="C20" s="216" t="s">
        <v>11</v>
      </c>
      <c r="D20" s="216" t="s">
        <v>12</v>
      </c>
      <c r="E20" s="122" t="s">
        <v>13</v>
      </c>
      <c r="F20" s="115"/>
      <c r="G20" s="115"/>
      <c r="H20" s="126" t="s">
        <v>29</v>
      </c>
      <c r="I20" s="124">
        <f t="shared" si="0"/>
        <v>846</v>
      </c>
      <c r="J20" s="124">
        <f>VLOOKUP($H$6,BASE!B3:GS127,200,0)</f>
        <v>401</v>
      </c>
      <c r="K20" s="133">
        <f>VLOOKUP($H$6,BASE!$B$3:HK127,218,0)</f>
        <v>445</v>
      </c>
    </row>
    <row r="21" spans="2:11" ht="19.5" customHeight="1">
      <c r="B21" s="123" t="s">
        <v>11</v>
      </c>
      <c r="C21" s="124">
        <f>D21+E21</f>
        <v>16595</v>
      </c>
      <c r="D21" s="124">
        <f>SUM(D22:D28)</f>
        <v>7876</v>
      </c>
      <c r="E21" s="133">
        <f>SUM(E22:E28)</f>
        <v>8719</v>
      </c>
      <c r="F21" s="115"/>
      <c r="G21" s="115"/>
      <c r="H21" s="218" t="s">
        <v>30</v>
      </c>
      <c r="I21" s="121">
        <f t="shared" si="0"/>
        <v>644</v>
      </c>
      <c r="J21" s="121">
        <f>VLOOKUP($H$6,BASE!B3:GT127,201,0)</f>
        <v>307</v>
      </c>
      <c r="K21" s="132">
        <f>VLOOKUP($H$6,BASE!$B$3:HL127,219,0)</f>
        <v>337</v>
      </c>
    </row>
    <row r="22" spans="2:11" ht="19.5" customHeight="1">
      <c r="B22" s="131" t="s">
        <v>17</v>
      </c>
      <c r="C22" s="121">
        <f t="shared" ref="C22:C28" si="1">D22+E22</f>
        <v>2429</v>
      </c>
      <c r="D22" s="121">
        <f>VLOOKUP(H6,BASE!B3:FQ127,172,0)</f>
        <v>1193</v>
      </c>
      <c r="E22" s="132">
        <f>VLOOKUP(H6,BASE!B3:GA127,182,0)</f>
        <v>1236</v>
      </c>
      <c r="F22" s="115"/>
      <c r="G22" s="115"/>
      <c r="H22" s="126" t="s">
        <v>31</v>
      </c>
      <c r="I22" s="124">
        <f t="shared" si="0"/>
        <v>549</v>
      </c>
      <c r="J22" s="124">
        <f>VLOOKUP($H$6,BASE!B3:GU127,202,0)</f>
        <v>279</v>
      </c>
      <c r="K22" s="133">
        <f>VLOOKUP($H$6,BASE!$B$3:HM127,220,0)</f>
        <v>270</v>
      </c>
    </row>
    <row r="23" spans="2:11" ht="19.5" customHeight="1">
      <c r="B23" s="123" t="s">
        <v>18</v>
      </c>
      <c r="C23" s="124">
        <f t="shared" si="1"/>
        <v>656</v>
      </c>
      <c r="D23" s="124">
        <f>VLOOKUP(H6,BASE!B3:FR127,173,0)</f>
        <v>300</v>
      </c>
      <c r="E23" s="133">
        <f>VLOOKUP(H6,BASE!B3:GB127,183,0)</f>
        <v>356</v>
      </c>
      <c r="F23" s="115"/>
      <c r="G23" s="115"/>
      <c r="H23" s="218" t="s">
        <v>32</v>
      </c>
      <c r="I23" s="121">
        <f t="shared" si="0"/>
        <v>449</v>
      </c>
      <c r="J23" s="121">
        <f>VLOOKUP($H$6,BASE!B3:GV127,203,0)</f>
        <v>216</v>
      </c>
      <c r="K23" s="132">
        <f>VLOOKUP($H$6,BASE!$B$3:HN127,221,0)</f>
        <v>233</v>
      </c>
    </row>
    <row r="24" spans="2:11" ht="19.5" customHeight="1">
      <c r="B24" s="131" t="s">
        <v>710</v>
      </c>
      <c r="C24" s="121">
        <f t="shared" si="1"/>
        <v>200</v>
      </c>
      <c r="D24" s="121">
        <f>VLOOKUP(H6,BASE!B3:FS127,174,0)</f>
        <v>94</v>
      </c>
      <c r="E24" s="132">
        <f>VLOOKUP(H6,BASE!B3:GC127,184,0)</f>
        <v>106</v>
      </c>
      <c r="F24" s="115"/>
      <c r="G24" s="115"/>
      <c r="H24" s="126" t="s">
        <v>33</v>
      </c>
      <c r="I24" s="124">
        <f t="shared" si="0"/>
        <v>356</v>
      </c>
      <c r="J24" s="124">
        <f>VLOOKUP($H$6,BASE!B3:GW127,204,0)</f>
        <v>187</v>
      </c>
      <c r="K24" s="133">
        <f>VLOOKUP($H$6,BASE!$B$3:HO127,222,0)</f>
        <v>169</v>
      </c>
    </row>
    <row r="25" spans="2:11" ht="27.75" customHeight="1">
      <c r="B25" s="123" t="s">
        <v>711</v>
      </c>
      <c r="C25" s="124">
        <f t="shared" si="1"/>
        <v>108</v>
      </c>
      <c r="D25" s="124">
        <f>VLOOKUP(H6,BASE!B3:FT127,175,0)</f>
        <v>50</v>
      </c>
      <c r="E25" s="133">
        <f>VLOOKUP(H6,BASE!B3:GD127,185,0)</f>
        <v>58</v>
      </c>
      <c r="F25" s="115"/>
      <c r="G25" s="115"/>
      <c r="H25" s="218" t="s">
        <v>34</v>
      </c>
      <c r="I25" s="121">
        <f t="shared" si="0"/>
        <v>272</v>
      </c>
      <c r="J25" s="121">
        <f>VLOOKUP($H$6,BASE!B3:GX127,205,0)</f>
        <v>129</v>
      </c>
      <c r="K25" s="132">
        <f>VLOOKUP($H$6,BASE!$B$3:HP127,223,0)</f>
        <v>143</v>
      </c>
    </row>
    <row r="26" spans="2:11" ht="28.5" customHeight="1">
      <c r="B26" s="131" t="s">
        <v>984</v>
      </c>
      <c r="C26" s="121">
        <f t="shared" si="1"/>
        <v>13069</v>
      </c>
      <c r="D26" s="121">
        <f>VLOOKUP(H6,BASE!B3:FU127,176,0)</f>
        <v>6172</v>
      </c>
      <c r="E26" s="132">
        <f>VLOOKUP(H6,BASE!B3:GE127,186,0)</f>
        <v>6897</v>
      </c>
      <c r="F26" s="115"/>
      <c r="G26" s="115"/>
      <c r="H26" s="126" t="s">
        <v>35</v>
      </c>
      <c r="I26" s="124">
        <f t="shared" si="0"/>
        <v>176</v>
      </c>
      <c r="J26" s="124">
        <f>VLOOKUP($H$6,BASE!B3:GY127,206,0)</f>
        <v>93</v>
      </c>
      <c r="K26" s="133">
        <f>VLOOKUP($H$6,BASE!$B$3:HQ127,224,0)</f>
        <v>83</v>
      </c>
    </row>
    <row r="27" spans="2:11" ht="24.75" customHeight="1" thickBot="1">
      <c r="B27" s="123" t="s">
        <v>712</v>
      </c>
      <c r="C27" s="124">
        <f t="shared" si="1"/>
        <v>72</v>
      </c>
      <c r="D27" s="124">
        <f>VLOOKUP(H6,BASE!B3:FV127,177,0)</f>
        <v>36</v>
      </c>
      <c r="E27" s="133">
        <f>VLOOKUP(H6,BASE!B3:GF127,187,0)</f>
        <v>36</v>
      </c>
      <c r="F27" s="115"/>
      <c r="G27" s="115"/>
      <c r="H27" s="127" t="s">
        <v>715</v>
      </c>
      <c r="I27" s="128">
        <f t="shared" si="0"/>
        <v>166</v>
      </c>
      <c r="J27" s="128">
        <f>VLOOKUP($H$6,BASE!B3:GZ127,207,0)</f>
        <v>95</v>
      </c>
      <c r="K27" s="135">
        <f>VLOOKUP($H$6,BASE!$B$3:HR127,225,0)</f>
        <v>71</v>
      </c>
    </row>
    <row r="28" spans="2:11" ht="13.5" customHeight="1" thickBot="1">
      <c r="B28" s="127" t="s">
        <v>713</v>
      </c>
      <c r="C28" s="128">
        <f t="shared" si="1"/>
        <v>61</v>
      </c>
      <c r="D28" s="128">
        <f>VLOOKUP(H6,BASE!B3:FW127,178,0)</f>
        <v>31</v>
      </c>
      <c r="E28" s="135">
        <f>VLOOKUP(H6,BASE!B3:GG127,188,0)</f>
        <v>30</v>
      </c>
      <c r="F28" s="115"/>
      <c r="G28" s="115"/>
      <c r="H28" s="115"/>
      <c r="I28" s="115"/>
      <c r="J28" s="115"/>
      <c r="K28" s="115"/>
    </row>
  </sheetData>
  <sheetProtection algorithmName="SHA-512" hashValue="NTeytayqDI2+MMdaIpVybeODhVa+31bmEX/NbybaV/lkP1GB4JE+npT+uI8++pVEo6algIAICLTyYbtC9nDkIQ==" saltValue="QNd+UyxhcC+jBFwWodBJ6Q==" spinCount="100000" sheet="1" objects="1" scenarios="1"/>
  <mergeCells count="3">
    <mergeCell ref="B19:E19"/>
    <mergeCell ref="H8:K8"/>
    <mergeCell ref="B8:D8"/>
  </mergeCells>
  <hyperlinks>
    <hyperlink ref="K4" location="PRESENTACIÓN!C6" display="INICIO" xr:uid="{00000000-0004-0000-0800-000000000000}"/>
  </hyperlinks>
  <pageMargins left="0.43307086614173229" right="0.23622047244094491" top="0" bottom="0" header="0" footer="0"/>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e F r m U l x 6 + N u j A A A A 9 Q A A A B I A H A B D b 2 5 m a W c v U G F j a 2 F n Z S 5 4 b W w g o h g A K K A U A A A A A A A A A A A A A A A A A A A A A A A A A A A A h Y 8 x D o I w G I W v Q r r T l u q g 5 K c M r p K Y m B j W p l R o h N b Q Y r m b g 0 f y C m I U d X N 8 3 / u G 9 + 7 X G + R j 1 0 Y X 1 T t t T Y Y S T F G k j L S V N n W G B n + M V y j n s B P y J G o V T b J x 6 e i q D D X e n 1 N C Q g g 4 L L D t a 8 I o T U h Z b P e y U Z 1 A H 1 n / l 2 N t n B d G K s T h 8 B r D G V 4 v M W M M U y A z g 0 K b b 8 + m u c / 2 B 8 J m a P 3 Q K 6 5 c X J R A 5 g j k f Y E / A F B L A w Q U A A I A C A B 4 W u Z 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F r m U i i K R 7 g O A A A A E Q A A A B M A H A B G b 3 J t d W x h c y 9 T Z W N 0 a W 9 u M S 5 t I K I Y A C i g F A A A A A A A A A A A A A A A A A A A A A A A A A A A A C t O T S 7 J z M 9 T C I b Q h t Y A U E s B A i 0 A F A A C A A g A e F r m U l x 6 + N u j A A A A 9 Q A A A B I A A A A A A A A A A A A A A A A A A A A A A E N v b m Z p Z y 9 Q Y W N r Y W d l L n h t b F B L A Q I t A B Q A A g A I A H h a 5 l I P y u m r p A A A A O k A A A A T A A A A A A A A A A A A A A A A A O 8 A A A B b Q 2 9 u d G V u d F 9 U e X B l c 1 0 u e G 1 s U E s B A i 0 A F A A C A A g A e F r m 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T 7 0 1 h c g k B C r 8 a 2 q D P G 7 / E A A A A A A g A A A A A A E G Y A A A A B A A A g A A A A k 7 O E M 0 N n f i l L o 6 D b 7 I / v X p + 0 i 6 b u g B E v w v T U 8 n e 7 t 2 Y A A A A A D o A A A A A C A A A g A A A A 8 I a c g Q E 8 c + S i E M R H A y O S j L b 5 6 + K k B G z 5 3 3 8 x b U K p X n x Q A A A A H 1 W g Q j E v v a c 2 G 0 2 F O 8 w Y j x G 0 p u H W Y 3 H M X a O j O H e r q B J s 1 / Q G y s K Q G q D n s j 3 9 L i L 2 1 w u P T 3 0 x t z X B v K T Q d B X q 0 d 6 3 g s j x W l u r j 2 C q H V K K x A x A A A A A 9 t Y a X L l v 9 B D V l w 7 t L f B S p B d 3 Z c C B + j J 7 p H B b M w I 4 e Q G g H B 6 Q 5 a a d n 2 L g L x n x d C 1 O Y k g 0 z E B E C 1 n S j b g o j P C g l g = = < / D a t a M a s h u p > 
</file>

<file path=customXml/itemProps1.xml><?xml version="1.0" encoding="utf-8"?>
<ds:datastoreItem xmlns:ds="http://schemas.openxmlformats.org/officeDocument/2006/customXml" ds:itemID="{838D3DD6-AD41-49FC-9F69-C544E2B3EF5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PRESENTACIÓN</vt:lpstr>
      <vt:lpstr>POBLACIÓN TOTAL</vt:lpstr>
      <vt:lpstr>POBLACIÓN INDÍGENA</vt:lpstr>
      <vt:lpstr>HOGARES</vt:lpstr>
      <vt:lpstr>TAMAÑO DE LOCALIDADES</vt:lpstr>
      <vt:lpstr>DISCAPACIDAD</vt:lpstr>
      <vt:lpstr>EDUCACIÓN</vt:lpstr>
      <vt:lpstr>OCUPACIÓN</vt:lpstr>
      <vt:lpstr>SALUD</vt:lpstr>
      <vt:lpstr>SERVICIOS VIVIENDAS</vt:lpstr>
      <vt:lpstr>CALIDAD VIVIENDAS</vt:lpstr>
      <vt:lpstr>ESPACIO VIVIENDAS</vt:lpstr>
      <vt:lpstr>BASE</vt:lpstr>
      <vt:lpstr>'CALIDAD VIVIENDAS'!Print_Area</vt:lpstr>
      <vt:lpstr>DISCAPACIDAD!Print_Area</vt:lpstr>
      <vt:lpstr>EDUCACIÓN!Print_Area</vt:lpstr>
      <vt:lpstr>'ESPACIO VIVIENDAS'!Print_Area</vt:lpstr>
      <vt:lpstr>HOGARES!Print_Area</vt:lpstr>
      <vt:lpstr>OCUPACIÓN!Print_Area</vt:lpstr>
      <vt:lpstr>'POBLACIÓN INDÍGENA'!Print_Area</vt:lpstr>
      <vt:lpstr>'POBLACIÓN TOTAL'!Print_Area</vt:lpstr>
      <vt:lpstr>PRESENTACIÓN!Print_Area</vt:lpstr>
      <vt:lpstr>SALUD!Print_Area</vt:lpstr>
      <vt:lpstr>'SERVICIOS VIVIENDAS'!Print_Area</vt:lpstr>
      <vt:lpstr>'TAMAÑO DE LOCALIDADES'!Print_Area</vt:lpstr>
      <vt:lpstr>'CALIDAD VIVIENDAS'!Print_Titles</vt:lpstr>
      <vt:lpstr>DISCAPACIDAD!Print_Titles</vt:lpstr>
      <vt:lpstr>EDUCACIÓN!Print_Titles</vt:lpstr>
      <vt:lpstr>'ESPACIO VIVIENDAS'!Print_Titles</vt:lpstr>
      <vt:lpstr>HOGARES!Print_Titles</vt:lpstr>
      <vt:lpstr>OCUPACIÓN!Print_Titles</vt:lpstr>
      <vt:lpstr>'POBLACIÓN INDÍGENA'!Print_Titles</vt:lpstr>
      <vt:lpstr>'POBLACIÓN TOTAL'!Print_Titles</vt:lpstr>
      <vt:lpstr>SALUD!Print_Titles</vt:lpstr>
      <vt:lpstr>'SERVICIOS VIVIENDAS'!Print_Titles</vt:lpstr>
      <vt:lpstr>'TAMAÑO DE LOCALIDADES'!Print_Titles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dc:creator>
  <cp:lastModifiedBy>Víctor Manuel Canales Vega</cp:lastModifiedBy>
  <cp:lastPrinted>2025-01-08T15:37:39Z</cp:lastPrinted>
  <dcterms:created xsi:type="dcterms:W3CDTF">2020-12-14T20:27:17Z</dcterms:created>
  <dcterms:modified xsi:type="dcterms:W3CDTF">2025-01-08T17:41:40Z</dcterms:modified>
</cp:coreProperties>
</file>